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28" windowWidth="9720" windowHeight="4572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G5" i="1" l="1"/>
  <c r="C10" i="1"/>
  <c r="C15" i="1" s="1"/>
  <c r="C17" i="1" s="1"/>
  <c r="C11" i="1"/>
  <c r="C12" i="1"/>
  <c r="G12" i="1"/>
  <c r="C13" i="1"/>
  <c r="G13" i="1"/>
  <c r="I13" i="1"/>
  <c r="G15" i="1"/>
  <c r="G16" i="1" s="1"/>
  <c r="G17" i="1" s="1"/>
  <c r="G18" i="1" s="1"/>
  <c r="C16" i="1" s="1"/>
  <c r="C34" i="1"/>
  <c r="C35" i="1"/>
  <c r="F35" i="1"/>
  <c r="I35" i="1"/>
  <c r="E39" i="1"/>
  <c r="G39" i="1" s="1"/>
  <c r="G40" i="1"/>
  <c r="C45" i="1"/>
  <c r="D45" i="1" s="1"/>
  <c r="H45" i="1"/>
  <c r="C33" i="1" s="1"/>
  <c r="H47" i="1"/>
  <c r="C49" i="1"/>
  <c r="D49" i="1" s="1"/>
  <c r="H49" i="1"/>
  <c r="D59" i="1"/>
  <c r="C20" i="1" l="1"/>
  <c r="H20" i="1" s="1"/>
  <c r="C57" i="1" s="1"/>
  <c r="C18" i="1"/>
  <c r="C21" i="1" s="1"/>
  <c r="H21" i="1" s="1"/>
  <c r="F49" i="1"/>
  <c r="F45" i="1"/>
  <c r="B45" i="1"/>
  <c r="C47" i="1"/>
  <c r="D47" i="1" s="1"/>
  <c r="F47" i="1" l="1"/>
  <c r="G45" i="1"/>
  <c r="I45" i="1"/>
  <c r="J45" i="1" s="1"/>
  <c r="K45" i="1" s="1"/>
  <c r="G49" i="1"/>
  <c r="I49" i="1"/>
  <c r="J49" i="1" s="1"/>
  <c r="K49" i="1" s="1"/>
  <c r="F46" i="1" l="1"/>
  <c r="L45" i="1"/>
  <c r="L49" i="1"/>
  <c r="F50" i="1" s="1"/>
  <c r="G47" i="1"/>
  <c r="I47" i="1"/>
  <c r="J47" i="1" s="1"/>
  <c r="K47" i="1" s="1"/>
  <c r="D52" i="1"/>
  <c r="F48" i="1" l="1"/>
  <c r="L47" i="1"/>
  <c r="G52" i="1"/>
  <c r="G53" i="1" s="1"/>
  <c r="D53" i="1"/>
</calcChain>
</file>

<file path=xl/sharedStrings.xml><?xml version="1.0" encoding="utf-8"?>
<sst xmlns="http://schemas.openxmlformats.org/spreadsheetml/2006/main" count="139" uniqueCount="115">
  <si>
    <t>Heat Balances Calculator</t>
  </si>
  <si>
    <t>Version:</t>
  </si>
  <si>
    <t>The following calculations determine how much heat is required to heat up a known volume of air.</t>
  </si>
  <si>
    <t>Determine heat requirements for heating n moles of air for a dT =</t>
  </si>
  <si>
    <t>oC?</t>
  </si>
  <si>
    <t>Tin</t>
  </si>
  <si>
    <t>oC</t>
  </si>
  <si>
    <t>Building Dimensions</t>
  </si>
  <si>
    <t>Tout</t>
  </si>
  <si>
    <t>L</t>
  </si>
  <si>
    <t>ft</t>
  </si>
  <si>
    <t>Pressure</t>
  </si>
  <si>
    <t>atmos</t>
  </si>
  <si>
    <t>W</t>
  </si>
  <si>
    <t>Coeff</t>
  </si>
  <si>
    <t>H</t>
  </si>
  <si>
    <t>for</t>
  </si>
  <si>
    <t>vol chg/hr</t>
  </si>
  <si>
    <t>Cv</t>
  </si>
  <si>
    <t>Bldg vol</t>
  </si>
  <si>
    <t>ft3</t>
  </si>
  <si>
    <t>Air Vol</t>
  </si>
  <si>
    <t>ft3/hr</t>
  </si>
  <si>
    <t>cfm</t>
  </si>
  <si>
    <t>J/mol</t>
  </si>
  <si>
    <t>Moles/L</t>
  </si>
  <si>
    <t>n</t>
  </si>
  <si>
    <t>moles/min</t>
  </si>
  <si>
    <t>moles/ft3</t>
  </si>
  <si>
    <t>Hj</t>
  </si>
  <si>
    <t>J/min</t>
  </si>
  <si>
    <t>total moles/hr</t>
  </si>
  <si>
    <t>Hbtu</t>
  </si>
  <si>
    <t>Btu/min</t>
  </si>
  <si>
    <t>tot moles/min</t>
  </si>
  <si>
    <t>Hj x 2</t>
  </si>
  <si>
    <t>(with 2 x safety factor)</t>
  </si>
  <si>
    <t>Add</t>
  </si>
  <si>
    <t xml:space="preserve">W to case results </t>
  </si>
  <si>
    <t>Hbtu x 2</t>
  </si>
  <si>
    <t xml:space="preserve">Btum to case results </t>
  </si>
  <si>
    <t>CASE 1</t>
  </si>
  <si>
    <t>LOOK AT NORMAL STEEL ENCLOSURE with 2 in thick insulation</t>
  </si>
  <si>
    <t>kair=</t>
  </si>
  <si>
    <t>W/m.K</t>
  </si>
  <si>
    <t>Refer to page 736 in HX text</t>
  </si>
  <si>
    <t>Pr=</t>
  </si>
  <si>
    <t>Reference temp for properties of air is:</t>
  </si>
  <si>
    <t>v=</t>
  </si>
  <si>
    <t>m2/s</t>
  </si>
  <si>
    <t>uf=</t>
  </si>
  <si>
    <t>kg/m.s</t>
  </si>
  <si>
    <t>p=</t>
  </si>
  <si>
    <t>kg/m3</t>
  </si>
  <si>
    <t>Cp=</t>
  </si>
  <si>
    <t>KJ/kg.oC</t>
  </si>
  <si>
    <t>Twin=</t>
  </si>
  <si>
    <t>K</t>
  </si>
  <si>
    <t>Tf=</t>
  </si>
  <si>
    <t>Area F1</t>
  </si>
  <si>
    <t>m2 (L x W)</t>
  </si>
  <si>
    <t>Area F2</t>
  </si>
  <si>
    <t>m2 (L x H)</t>
  </si>
  <si>
    <t>Area F3</t>
  </si>
  <si>
    <t>m2 (W x H)</t>
  </si>
  <si>
    <t>vel=</t>
  </si>
  <si>
    <t>m/s</t>
  </si>
  <si>
    <t>Material</t>
  </si>
  <si>
    <t>Heat Transfer Coefficient, k</t>
  </si>
  <si>
    <t>Material Thickness</t>
  </si>
  <si>
    <t>Steel</t>
  </si>
  <si>
    <t>W/m.oC</t>
  </si>
  <si>
    <t>in</t>
  </si>
  <si>
    <t>m</t>
  </si>
  <si>
    <t>Foam</t>
  </si>
  <si>
    <t>Face</t>
  </si>
  <si>
    <t>Avg T</t>
  </si>
  <si>
    <t>Re</t>
  </si>
  <si>
    <t>hmo</t>
  </si>
  <si>
    <t>Qface</t>
  </si>
  <si>
    <t>Qtot</t>
  </si>
  <si>
    <t>Twin</t>
  </si>
  <si>
    <t>Two</t>
  </si>
  <si>
    <t>Tfi</t>
  </si>
  <si>
    <t>Tfo</t>
  </si>
  <si>
    <t>Tf</t>
  </si>
  <si>
    <t>Name</t>
  </si>
  <si>
    <t>W/m2.oC</t>
  </si>
  <si>
    <t>W/face</t>
  </si>
  <si>
    <t>W (2 faces)</t>
  </si>
  <si>
    <t>Ref.</t>
  </si>
  <si>
    <t>F1</t>
  </si>
  <si>
    <t>check</t>
  </si>
  <si>
    <t>F2</t>
  </si>
  <si>
    <t>F3</t>
  </si>
  <si>
    <t>Surface Loss</t>
  </si>
  <si>
    <t>Surface Loss + Air Heating</t>
  </si>
  <si>
    <t>Case 1 Results:</t>
  </si>
  <si>
    <t>Btum</t>
  </si>
  <si>
    <t>Notes:</t>
  </si>
  <si>
    <t>1.</t>
  </si>
  <si>
    <t xml:space="preserve">W was added to case results </t>
  </si>
  <si>
    <t xml:space="preserve">listed above to heat air in 1 minute </t>
  </si>
  <si>
    <t>to achieve a dT =</t>
  </si>
  <si>
    <t>2.</t>
  </si>
  <si>
    <t xml:space="preserve">The above results are approximately proportional to the surface </t>
  </si>
  <si>
    <t xml:space="preserve">area of the box enclosure. </t>
  </si>
  <si>
    <t>Therefore, if a 2 cu. ft box is used instead of a 1 cu. ft box then as a rough estimate</t>
  </si>
  <si>
    <t>just double the heat requirement results for each case.</t>
  </si>
  <si>
    <t>3.</t>
  </si>
  <si>
    <t>The above calculations are based on a carbon steel box,</t>
  </si>
  <si>
    <t>with and w/o a layer of insulation on all 6 faces of box.</t>
  </si>
  <si>
    <t>© 1998 - 2017, John Hibberd &amp; HEI Group. All rights reserved.</t>
  </si>
  <si>
    <t>Date:</t>
  </si>
  <si>
    <t xml:space="preserve">  June 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</si>
</sst>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\(&quot;$&quot;#,##0\)"/>
    <numFmt numFmtId="165" formatCode="0.0000"/>
    <numFmt numFmtId="166" formatCode="0.0000E+00"/>
    <numFmt numFmtId="167" formatCode="0.000"/>
    <numFmt numFmtId="168" formatCode="0.0"/>
  </numFmts>
  <fonts count="8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"/>
    </font>
    <font>
      <b/>
      <sz val="16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5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8">
    <xf numFmtId="0" fontId="0" fillId="0" borderId="0">
      <alignment vertical="top"/>
    </xf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6" fillId="0" borderId="1" applyNumberFormat="0" applyFont="0" applyBorder="0" applyAlignment="0" applyProtection="0"/>
  </cellStyleXfs>
  <cellXfs count="36">
    <xf numFmtId="0" fontId="0" fillId="0" borderId="0" xfId="0" applyAlignment="1"/>
    <xf numFmtId="165" fontId="0" fillId="0" borderId="0" xfId="0" applyNumberFormat="1" applyAlignment="1"/>
    <xf numFmtId="166" fontId="0" fillId="0" borderId="0" xfId="0" applyNumberFormat="1" applyAlignment="1"/>
    <xf numFmtId="2" fontId="0" fillId="0" borderId="0" xfId="0" applyNumberFormat="1" applyAlignment="1"/>
    <xf numFmtId="167" fontId="0" fillId="0" borderId="0" xfId="0" applyNumberFormat="1" applyAlignment="1"/>
    <xf numFmtId="0" fontId="3" fillId="0" borderId="0" xfId="0" applyFont="1" applyBorder="1" applyAlignment="1"/>
    <xf numFmtId="2" fontId="3" fillId="0" borderId="0" xfId="0" applyNumberFormat="1" applyFont="1" applyBorder="1" applyAlignment="1"/>
    <xf numFmtId="165" fontId="3" fillId="0" borderId="0" xfId="0" applyNumberFormat="1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0" fillId="0" borderId="2" xfId="0" applyFill="1" applyBorder="1" applyAlignment="1"/>
    <xf numFmtId="165" fontId="0" fillId="2" borderId="2" xfId="0" applyNumberFormat="1" applyFill="1" applyBorder="1" applyAlignment="1"/>
    <xf numFmtId="166" fontId="0" fillId="2" borderId="2" xfId="0" applyNumberFormat="1" applyFill="1" applyBorder="1" applyAlignment="1"/>
    <xf numFmtId="2" fontId="0" fillId="0" borderId="2" xfId="0" applyNumberFormat="1" applyFill="1" applyBorder="1" applyAlignment="1"/>
    <xf numFmtId="2" fontId="0" fillId="2" borderId="2" xfId="0" applyNumberFormat="1" applyFill="1" applyBorder="1" applyAlignment="1"/>
    <xf numFmtId="2" fontId="3" fillId="2" borderId="0" xfId="0" applyNumberFormat="1" applyFont="1" applyFill="1" applyBorder="1" applyAlignment="1"/>
    <xf numFmtId="2" fontId="0" fillId="2" borderId="0" xfId="0" applyNumberFormat="1" applyFill="1" applyAlignment="1"/>
    <xf numFmtId="2" fontId="0" fillId="3" borderId="2" xfId="0" applyNumberFormat="1" applyFill="1" applyBorder="1" applyAlignment="1"/>
    <xf numFmtId="166" fontId="0" fillId="0" borderId="2" xfId="0" applyNumberFormat="1" applyFill="1" applyBorder="1" applyAlignment="1"/>
    <xf numFmtId="2" fontId="3" fillId="0" borderId="2" xfId="0" applyNumberFormat="1" applyFont="1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5" xfId="0" applyFill="1" applyBorder="1" applyAlignment="1"/>
    <xf numFmtId="167" fontId="0" fillId="2" borderId="2" xfId="0" applyNumberFormat="1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165" fontId="0" fillId="0" borderId="2" xfId="0" applyNumberFormat="1" applyFill="1" applyBorder="1" applyAlignment="1"/>
    <xf numFmtId="2" fontId="0" fillId="0" borderId="3" xfId="0" applyNumberFormat="1" applyFill="1" applyBorder="1" applyAlignment="1"/>
    <xf numFmtId="166" fontId="0" fillId="0" borderId="4" xfId="0" applyNumberFormat="1" applyFill="1" applyBorder="1" applyAlignment="1"/>
    <xf numFmtId="166" fontId="0" fillId="0" borderId="5" xfId="0" applyNumberFormat="1" applyFill="1" applyBorder="1" applyAlignment="1"/>
    <xf numFmtId="2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/>
    <xf numFmtId="168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zoomScale="75" workbookViewId="0">
      <selection activeCell="B1" sqref="B1"/>
    </sheetView>
  </sheetViews>
  <sheetFormatPr defaultRowHeight="13.2" x14ac:dyDescent="0.25"/>
  <cols>
    <col min="2" max="2" width="9.6640625" customWidth="1"/>
    <col min="3" max="3" width="16.33203125" customWidth="1"/>
    <col min="4" max="4" width="11.88671875" customWidth="1"/>
    <col min="6" max="6" width="13.44140625" customWidth="1"/>
    <col min="7" max="7" width="12" customWidth="1"/>
    <col min="8" max="8" width="13.44140625" customWidth="1"/>
    <col min="10" max="10" width="11.33203125" customWidth="1"/>
  </cols>
  <sheetData>
    <row r="1" spans="2:10" ht="21" x14ac:dyDescent="0.4">
      <c r="B1" s="8" t="s">
        <v>0</v>
      </c>
    </row>
    <row r="2" spans="2:10" x14ac:dyDescent="0.25">
      <c r="B2" s="5" t="s">
        <v>1</v>
      </c>
      <c r="C2" s="34">
        <v>1.1000000000000001</v>
      </c>
    </row>
    <row r="3" spans="2:10" x14ac:dyDescent="0.25">
      <c r="B3" s="33" t="s">
        <v>113</v>
      </c>
      <c r="C3" s="35" t="s">
        <v>114</v>
      </c>
    </row>
    <row r="4" spans="2:10" x14ac:dyDescent="0.25">
      <c r="B4" s="5" t="s">
        <v>2</v>
      </c>
    </row>
    <row r="5" spans="2:10" x14ac:dyDescent="0.25">
      <c r="B5" s="5" t="s">
        <v>3</v>
      </c>
      <c r="G5" s="6">
        <f>C7-C8</f>
        <v>20</v>
      </c>
      <c r="H5" t="s">
        <v>4</v>
      </c>
    </row>
    <row r="7" spans="2:10" x14ac:dyDescent="0.25">
      <c r="B7" s="10" t="s">
        <v>5</v>
      </c>
      <c r="C7" s="14">
        <v>10</v>
      </c>
      <c r="D7" s="10" t="s">
        <v>6</v>
      </c>
      <c r="F7" s="9" t="s">
        <v>7</v>
      </c>
    </row>
    <row r="8" spans="2:10" x14ac:dyDescent="0.25">
      <c r="B8" s="10" t="s">
        <v>8</v>
      </c>
      <c r="C8" s="14">
        <v>-10</v>
      </c>
      <c r="D8" s="10" t="s">
        <v>6</v>
      </c>
      <c r="F8" s="10" t="s">
        <v>9</v>
      </c>
      <c r="G8" s="14">
        <v>16</v>
      </c>
      <c r="H8" s="10" t="s">
        <v>10</v>
      </c>
    </row>
    <row r="9" spans="2:10" x14ac:dyDescent="0.25">
      <c r="B9" s="10" t="s">
        <v>11</v>
      </c>
      <c r="C9" s="14">
        <v>1</v>
      </c>
      <c r="D9" s="10" t="s">
        <v>12</v>
      </c>
      <c r="F9" s="10" t="s">
        <v>13</v>
      </c>
      <c r="G9" s="14">
        <v>12</v>
      </c>
      <c r="H9" s="10" t="s">
        <v>10</v>
      </c>
    </row>
    <row r="10" spans="2:10" x14ac:dyDescent="0.25">
      <c r="B10" s="20" t="s">
        <v>14</v>
      </c>
      <c r="C10" s="28">
        <f>(28-8.314)*($C$7-$C$8)</f>
        <v>393.72</v>
      </c>
      <c r="F10" s="10" t="s">
        <v>15</v>
      </c>
      <c r="G10" s="14">
        <v>10</v>
      </c>
      <c r="H10" s="10" t="s">
        <v>10</v>
      </c>
    </row>
    <row r="11" spans="2:10" x14ac:dyDescent="0.25">
      <c r="B11" s="21" t="s">
        <v>16</v>
      </c>
      <c r="C11" s="29">
        <f>0.004147/2*($C$7-$C$8)</f>
        <v>4.1469999999999993E-2</v>
      </c>
      <c r="F11" s="10" t="s">
        <v>17</v>
      </c>
      <c r="G11" s="14">
        <v>2</v>
      </c>
      <c r="H11" s="10"/>
    </row>
    <row r="12" spans="2:10" x14ac:dyDescent="0.25">
      <c r="B12" s="21" t="s">
        <v>18</v>
      </c>
      <c r="C12" s="29">
        <f>0.000003191/3*($C$7-$C$8)</f>
        <v>2.1273333333333332E-5</v>
      </c>
      <c r="F12" s="10" t="s">
        <v>19</v>
      </c>
      <c r="G12" s="13">
        <f>G8*G9*G10</f>
        <v>1920</v>
      </c>
      <c r="H12" s="10" t="s">
        <v>20</v>
      </c>
    </row>
    <row r="13" spans="2:10" x14ac:dyDescent="0.25">
      <c r="B13" s="22"/>
      <c r="C13" s="30">
        <f>-0.000000001965/4*($C$7-$C$8)</f>
        <v>-9.8250000000000003E-9</v>
      </c>
      <c r="F13" s="10" t="s">
        <v>21</v>
      </c>
      <c r="G13" s="13">
        <f>G12*G11</f>
        <v>3840</v>
      </c>
      <c r="H13" s="10" t="s">
        <v>22</v>
      </c>
      <c r="I13" s="13">
        <f>G13/60</f>
        <v>64</v>
      </c>
      <c r="J13" s="10" t="s">
        <v>23</v>
      </c>
    </row>
    <row r="15" spans="2:10" x14ac:dyDescent="0.25">
      <c r="B15" s="10" t="s">
        <v>18</v>
      </c>
      <c r="C15" s="27">
        <f>SUM(C10:C13)</f>
        <v>393.76149126350839</v>
      </c>
      <c r="D15" s="10" t="s">
        <v>24</v>
      </c>
      <c r="F15" s="10" t="s">
        <v>25</v>
      </c>
      <c r="G15" s="27">
        <f>1/22.4</f>
        <v>4.4642857142857144E-2</v>
      </c>
    </row>
    <row r="16" spans="2:10" x14ac:dyDescent="0.25">
      <c r="B16" s="10" t="s">
        <v>26</v>
      </c>
      <c r="C16" s="27">
        <f>G18</f>
        <v>80.938891137191433</v>
      </c>
      <c r="D16" s="10" t="s">
        <v>27</v>
      </c>
      <c r="F16" s="10" t="s">
        <v>28</v>
      </c>
      <c r="G16" s="27">
        <f>G15*1000/35.3</f>
        <v>1.2646701740186161</v>
      </c>
    </row>
    <row r="17" spans="2:10" x14ac:dyDescent="0.25">
      <c r="B17" s="10" t="s">
        <v>29</v>
      </c>
      <c r="C17" s="27">
        <f>C15*C16</f>
        <v>31870.618475395262</v>
      </c>
      <c r="D17" s="10" t="s">
        <v>30</v>
      </c>
      <c r="F17" s="10" t="s">
        <v>31</v>
      </c>
      <c r="G17" s="27">
        <f>G16*G13</f>
        <v>4856.3334682314862</v>
      </c>
    </row>
    <row r="18" spans="2:10" x14ac:dyDescent="0.25">
      <c r="B18" s="10" t="s">
        <v>32</v>
      </c>
      <c r="C18" s="27">
        <f>0.000947831*C17</f>
        <v>30.207960180152366</v>
      </c>
      <c r="D18" s="10" t="s">
        <v>33</v>
      </c>
      <c r="F18" s="10" t="s">
        <v>34</v>
      </c>
      <c r="G18" s="27">
        <f>G17/60</f>
        <v>80.938891137191433</v>
      </c>
    </row>
    <row r="19" spans="2:10" x14ac:dyDescent="0.25">
      <c r="C19" s="1"/>
    </row>
    <row r="20" spans="2:10" x14ac:dyDescent="0.25">
      <c r="B20" s="5" t="s">
        <v>35</v>
      </c>
      <c r="C20" s="7">
        <f>2*C17</f>
        <v>63741.236950790524</v>
      </c>
      <c r="D20" s="5" t="s">
        <v>30</v>
      </c>
      <c r="E20" t="s">
        <v>36</v>
      </c>
      <c r="G20" s="5" t="s">
        <v>37</v>
      </c>
      <c r="H20" s="6">
        <f>C20/60</f>
        <v>1062.3539491798422</v>
      </c>
      <c r="I20" s="5" t="s">
        <v>38</v>
      </c>
    </row>
    <row r="21" spans="2:10" x14ac:dyDescent="0.25">
      <c r="B21" s="5" t="s">
        <v>39</v>
      </c>
      <c r="C21" s="7">
        <f>2*C18</f>
        <v>60.415920360304732</v>
      </c>
      <c r="D21" s="5" t="s">
        <v>33</v>
      </c>
      <c r="E21" t="s">
        <v>36</v>
      </c>
      <c r="G21" s="5" t="s">
        <v>37</v>
      </c>
      <c r="H21" s="6">
        <f>C21</f>
        <v>60.415920360304732</v>
      </c>
      <c r="I21" s="5" t="s">
        <v>40</v>
      </c>
    </row>
    <row r="22" spans="2:10" x14ac:dyDescent="0.25">
      <c r="G22" s="6"/>
      <c r="H22" s="5"/>
      <c r="I22" s="6"/>
      <c r="J22" s="5"/>
    </row>
    <row r="23" spans="2:10" x14ac:dyDescent="0.25">
      <c r="B23" s="5" t="s">
        <v>41</v>
      </c>
    </row>
    <row r="24" spans="2:10" x14ac:dyDescent="0.25">
      <c r="B24" s="5"/>
    </row>
    <row r="25" spans="2:10" x14ac:dyDescent="0.25">
      <c r="B25" s="5" t="s">
        <v>42</v>
      </c>
    </row>
    <row r="27" spans="2:10" x14ac:dyDescent="0.25">
      <c r="B27" s="10" t="s">
        <v>43</v>
      </c>
      <c r="C27" s="11">
        <v>2.2270000000000002E-2</v>
      </c>
      <c r="D27" s="10" t="s">
        <v>44</v>
      </c>
      <c r="E27" t="s">
        <v>45</v>
      </c>
    </row>
    <row r="28" spans="2:10" x14ac:dyDescent="0.25">
      <c r="B28" s="10" t="s">
        <v>46</v>
      </c>
      <c r="C28" s="11">
        <v>0.72199999999999998</v>
      </c>
      <c r="D28" s="10"/>
      <c r="E28" t="s">
        <v>47</v>
      </c>
    </row>
    <row r="29" spans="2:10" x14ac:dyDescent="0.25">
      <c r="B29" s="10" t="s">
        <v>48</v>
      </c>
      <c r="C29" s="12">
        <v>9.4900000000000006E-6</v>
      </c>
      <c r="D29" s="10" t="s">
        <v>49</v>
      </c>
    </row>
    <row r="30" spans="2:10" x14ac:dyDescent="0.25">
      <c r="B30" s="10" t="s">
        <v>50</v>
      </c>
      <c r="C30" s="12">
        <v>1.488E-5</v>
      </c>
      <c r="D30" s="10" t="s">
        <v>51</v>
      </c>
    </row>
    <row r="31" spans="2:10" x14ac:dyDescent="0.25">
      <c r="B31" s="10" t="s">
        <v>52</v>
      </c>
      <c r="C31" s="11">
        <v>1.4128000000000001</v>
      </c>
      <c r="D31" s="10" t="s">
        <v>53</v>
      </c>
    </row>
    <row r="32" spans="2:10" x14ac:dyDescent="0.25">
      <c r="B32" s="10" t="s">
        <v>54</v>
      </c>
      <c r="C32" s="11">
        <v>1.0053000000000001</v>
      </c>
      <c r="D32" s="10" t="s">
        <v>55</v>
      </c>
    </row>
    <row r="33" spans="1:12" x14ac:dyDescent="0.25">
      <c r="B33" s="10" t="s">
        <v>56</v>
      </c>
      <c r="C33" s="13">
        <f>H45+273</f>
        <v>283</v>
      </c>
      <c r="D33" s="10" t="s">
        <v>57</v>
      </c>
    </row>
    <row r="34" spans="1:12" x14ac:dyDescent="0.25">
      <c r="B34" s="10" t="s">
        <v>58</v>
      </c>
      <c r="C34" s="13">
        <f>273+C8</f>
        <v>263</v>
      </c>
      <c r="D34" s="10" t="s">
        <v>57</v>
      </c>
    </row>
    <row r="35" spans="1:12" x14ac:dyDescent="0.25">
      <c r="B35" s="10" t="s">
        <v>59</v>
      </c>
      <c r="C35" s="13">
        <f>(G8*G9)/3.28^2</f>
        <v>17.846519928613922</v>
      </c>
      <c r="D35" s="13" t="s">
        <v>60</v>
      </c>
      <c r="E35" s="13" t="s">
        <v>61</v>
      </c>
      <c r="F35" s="13">
        <f>(G8*G10)/3.28^2</f>
        <v>14.872099940511603</v>
      </c>
      <c r="G35" s="13" t="s">
        <v>62</v>
      </c>
      <c r="H35" s="13" t="s">
        <v>63</v>
      </c>
      <c r="I35" s="13">
        <f>(G9*G10)/3.28^2</f>
        <v>11.154074955383702</v>
      </c>
      <c r="J35" s="13" t="s">
        <v>64</v>
      </c>
    </row>
    <row r="36" spans="1:12" x14ac:dyDescent="0.25">
      <c r="B36" s="10" t="s">
        <v>65</v>
      </c>
      <c r="C36" s="14">
        <v>20</v>
      </c>
      <c r="D36" s="10" t="s">
        <v>66</v>
      </c>
    </row>
    <row r="38" spans="1:12" x14ac:dyDescent="0.25">
      <c r="B38" s="10" t="s">
        <v>67</v>
      </c>
      <c r="C38" s="24" t="s">
        <v>68</v>
      </c>
      <c r="D38" s="26"/>
      <c r="E38" s="24" t="s">
        <v>69</v>
      </c>
      <c r="F38" s="25"/>
      <c r="G38" s="25"/>
      <c r="H38" s="26"/>
    </row>
    <row r="39" spans="1:12" x14ac:dyDescent="0.25">
      <c r="B39" s="10" t="s">
        <v>70</v>
      </c>
      <c r="C39" s="23">
        <v>43</v>
      </c>
      <c r="D39" s="10" t="s">
        <v>71</v>
      </c>
      <c r="E39" s="11">
        <f>1/8</f>
        <v>0.125</v>
      </c>
      <c r="F39" s="10" t="s">
        <v>72</v>
      </c>
      <c r="G39" s="18">
        <f>E39/(12*3.28)</f>
        <v>3.1758130081300812E-3</v>
      </c>
      <c r="H39" s="10" t="s">
        <v>73</v>
      </c>
    </row>
    <row r="40" spans="1:12" x14ac:dyDescent="0.25">
      <c r="B40" s="10" t="s">
        <v>74</v>
      </c>
      <c r="C40" s="23">
        <v>2.7E-2</v>
      </c>
      <c r="D40" s="10" t="s">
        <v>71</v>
      </c>
      <c r="E40" s="11">
        <v>2</v>
      </c>
      <c r="F40" s="10" t="s">
        <v>72</v>
      </c>
      <c r="G40" s="18">
        <f>E40/(12*3.28)</f>
        <v>5.08130081300813E-2</v>
      </c>
      <c r="H40" s="10" t="s">
        <v>73</v>
      </c>
    </row>
    <row r="42" spans="1:12" x14ac:dyDescent="0.25">
      <c r="A42" s="20" t="s">
        <v>75</v>
      </c>
      <c r="B42" s="20" t="s">
        <v>76</v>
      </c>
      <c r="C42" s="20" t="s">
        <v>77</v>
      </c>
      <c r="D42" s="20" t="s">
        <v>78</v>
      </c>
      <c r="E42" s="20"/>
      <c r="F42" s="20" t="s">
        <v>79</v>
      </c>
      <c r="G42" s="20" t="s">
        <v>80</v>
      </c>
      <c r="H42" s="20" t="s">
        <v>81</v>
      </c>
      <c r="I42" s="20" t="s">
        <v>82</v>
      </c>
      <c r="J42" s="20" t="s">
        <v>83</v>
      </c>
      <c r="K42" s="20" t="s">
        <v>84</v>
      </c>
      <c r="L42" s="20" t="s">
        <v>85</v>
      </c>
    </row>
    <row r="43" spans="1:12" x14ac:dyDescent="0.25">
      <c r="A43" s="21" t="s">
        <v>86</v>
      </c>
      <c r="B43" s="21" t="s">
        <v>57</v>
      </c>
      <c r="C43" s="21"/>
      <c r="D43" s="21" t="s">
        <v>87</v>
      </c>
      <c r="E43" s="21"/>
      <c r="F43" s="21" t="s">
        <v>88</v>
      </c>
      <c r="G43" s="21" t="s">
        <v>89</v>
      </c>
      <c r="H43" s="21" t="s">
        <v>6</v>
      </c>
      <c r="I43" s="21" t="s">
        <v>6</v>
      </c>
      <c r="J43" s="21" t="s">
        <v>6</v>
      </c>
      <c r="K43" s="21" t="s">
        <v>6</v>
      </c>
      <c r="L43" s="21" t="s">
        <v>6</v>
      </c>
    </row>
    <row r="44" spans="1:12" x14ac:dyDescent="0.25">
      <c r="A44" s="22"/>
      <c r="B44" s="22" t="s">
        <v>90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2" x14ac:dyDescent="0.25">
      <c r="A45" s="10" t="s">
        <v>91</v>
      </c>
      <c r="B45" s="17">
        <f>(C$33+C$34)/2</f>
        <v>273</v>
      </c>
      <c r="C45" s="18">
        <f>C$36*(C$35^0.5)/C$29</f>
        <v>8903085.7003206313</v>
      </c>
      <c r="D45" s="13">
        <f>0.036*(C$27/(C$35^0.5))*C$28^0.43*(C$45^0.8-9200)</f>
        <v>58.33019882654785</v>
      </c>
      <c r="E45" s="10"/>
      <c r="F45" s="13">
        <f>(C$33-C$34)/((G$39/(C$35*C$39))+(G$40/(C$35*C$40))+(1/(C$35*D$45)))</f>
        <v>187.9391262018996</v>
      </c>
      <c r="G45" s="19">
        <f>2*F45</f>
        <v>375.87825240379919</v>
      </c>
      <c r="H45" s="13">
        <f>C$7</f>
        <v>10</v>
      </c>
      <c r="I45" s="13">
        <f>(F$45*G$39/(C$35*C$39)-H$45)*-1</f>
        <v>9.9992222318945529</v>
      </c>
      <c r="J45" s="13">
        <f>I45</f>
        <v>9.9992222318945529</v>
      </c>
      <c r="K45" s="13">
        <f>(F$45*G$40/(C$35*C$40)-(J$45))*-1</f>
        <v>-9.8194613439230451</v>
      </c>
      <c r="L45" s="13">
        <f>-(F$45/(C$35*D$45)-K$45)</f>
        <v>-9.9999999999999982</v>
      </c>
    </row>
    <row r="46" spans="1:12" x14ac:dyDescent="0.25">
      <c r="A46" s="10"/>
      <c r="B46" s="10"/>
      <c r="C46" s="18"/>
      <c r="D46" s="10"/>
      <c r="E46" s="10" t="s">
        <v>92</v>
      </c>
      <c r="F46" s="13">
        <f>C$35*D$45*(K$45-L$45)</f>
        <v>187.93912620189914</v>
      </c>
      <c r="G46" s="13"/>
      <c r="H46" s="13"/>
      <c r="I46" s="13"/>
      <c r="J46" s="13"/>
      <c r="K46" s="13"/>
      <c r="L46" s="13"/>
    </row>
    <row r="47" spans="1:12" x14ac:dyDescent="0.25">
      <c r="A47" s="10" t="s">
        <v>93</v>
      </c>
      <c r="B47" s="10"/>
      <c r="C47" s="18">
        <f>C$36*(F$35^0.5)/C$29</f>
        <v>8127368.1157788169</v>
      </c>
      <c r="D47" s="13">
        <f>0.036*(C$27/(F$35^0.5))*C$28^0.43*(C$47^0.8-9200)</f>
        <v>59.286500706155572</v>
      </c>
      <c r="E47" s="10"/>
      <c r="F47" s="13">
        <f>(C$33-C$34)/((G$39/(F$35*C$39))+(G$40/(F$35*C$40))+(1/(F$35*D$47)))</f>
        <v>156.63874604967162</v>
      </c>
      <c r="G47" s="19">
        <f>2*F47</f>
        <v>313.27749209934325</v>
      </c>
      <c r="H47" s="13">
        <f>C$7</f>
        <v>10</v>
      </c>
      <c r="I47" s="13">
        <f>(F$47*G$39/(F$35*C$39)-H$47)*-1</f>
        <v>9.9992221186303247</v>
      </c>
      <c r="J47" s="13">
        <f>I47</f>
        <v>9.9992221186303247</v>
      </c>
      <c r="K47" s="13">
        <f>(F$47*G$40/(F$35*C$40)-(J$47))*-1</f>
        <v>-9.8223475975318202</v>
      </c>
      <c r="L47" s="13">
        <f>-(F$47/(F$35*D$47)-K$47)</f>
        <v>-9.9999999999999982</v>
      </c>
    </row>
    <row r="48" spans="1:12" x14ac:dyDescent="0.25">
      <c r="A48" s="10"/>
      <c r="B48" s="10"/>
      <c r="C48" s="18"/>
      <c r="D48" s="10"/>
      <c r="E48" s="10" t="s">
        <v>92</v>
      </c>
      <c r="F48" s="13">
        <f>F$35*D$47*(K$47-L$47)</f>
        <v>156.63874604967091</v>
      </c>
      <c r="G48" s="13"/>
      <c r="H48" s="13"/>
      <c r="I48" s="13"/>
      <c r="J48" s="13"/>
      <c r="K48" s="13"/>
      <c r="L48" s="13"/>
    </row>
    <row r="49" spans="1:12" x14ac:dyDescent="0.25">
      <c r="A49" s="10" t="s">
        <v>94</v>
      </c>
      <c r="B49" s="10"/>
      <c r="C49" s="18">
        <f>C$36*(I$35^0.5)/C$29</f>
        <v>7038507.2541721212</v>
      </c>
      <c r="D49" s="13">
        <f>0.036*(C$27/(I$35^0.5))*C$28^0.43*(C$49^0.8-9200)</f>
        <v>60.808152930942214</v>
      </c>
      <c r="E49" s="10"/>
      <c r="F49" s="13">
        <f>(C$33-C$34)/((G$39/(I$35*C$39))+(G$40/(I$35*C$40))+(1/(I$35*D$49)))</f>
        <v>117.50517824515705</v>
      </c>
      <c r="G49" s="19">
        <f>2*F49</f>
        <v>235.01035649031411</v>
      </c>
      <c r="H49" s="13">
        <f>C$7</f>
        <v>10</v>
      </c>
      <c r="I49" s="13">
        <f>(F$49*G$39/(I$35*C$39)-H$49)*-1</f>
        <v>9.9992219456866849</v>
      </c>
      <c r="J49" s="13">
        <f>I49</f>
        <v>9.9992219456866849</v>
      </c>
      <c r="K49" s="13">
        <f>(F$49*G$40/(I$35*C$40)-(J$49))*-1</f>
        <v>-9.8267546306566835</v>
      </c>
      <c r="L49" s="13">
        <f>-(F$49/(I$35*D$49)-K$49)</f>
        <v>-9.9999999999999982</v>
      </c>
    </row>
    <row r="50" spans="1:12" x14ac:dyDescent="0.25">
      <c r="A50" s="10"/>
      <c r="B50" s="10"/>
      <c r="C50" s="10"/>
      <c r="D50" s="10"/>
      <c r="E50" s="10" t="s">
        <v>92</v>
      </c>
      <c r="F50" s="13">
        <f>I$35*D$49*(K$49-L$49)</f>
        <v>117.50517824515745</v>
      </c>
      <c r="G50" s="13"/>
      <c r="H50" s="10"/>
      <c r="I50" s="10"/>
      <c r="J50" s="10"/>
      <c r="K50" s="10"/>
      <c r="L50" s="10"/>
    </row>
    <row r="51" spans="1:12" x14ac:dyDescent="0.25">
      <c r="D51" t="s">
        <v>95</v>
      </c>
      <c r="G51" t="s">
        <v>96</v>
      </c>
    </row>
    <row r="52" spans="1:12" x14ac:dyDescent="0.25">
      <c r="A52" s="5" t="s">
        <v>97</v>
      </c>
      <c r="C52" s="5"/>
      <c r="D52" s="15">
        <f>SUM(G45:G50)</f>
        <v>924.16610099345644</v>
      </c>
      <c r="E52" s="6" t="s">
        <v>13</v>
      </c>
      <c r="F52" s="3"/>
      <c r="G52" s="16">
        <f>D52+H20</f>
        <v>1986.5200501732986</v>
      </c>
      <c r="H52" t="s">
        <v>13</v>
      </c>
    </row>
    <row r="53" spans="1:12" x14ac:dyDescent="0.25">
      <c r="B53" s="5"/>
      <c r="C53" s="5"/>
      <c r="D53" s="15">
        <f>D52*(1*56.8699/1000)</f>
        <v>52.557233746887768</v>
      </c>
      <c r="E53" s="6" t="s">
        <v>98</v>
      </c>
      <c r="F53" s="3"/>
      <c r="G53" s="15">
        <f>G52*(1*56.8699/1000)</f>
        <v>112.97319660135048</v>
      </c>
      <c r="H53" t="s">
        <v>98</v>
      </c>
    </row>
    <row r="56" spans="1:12" x14ac:dyDescent="0.25">
      <c r="B56" t="s">
        <v>99</v>
      </c>
    </row>
    <row r="57" spans="1:12" x14ac:dyDescent="0.25">
      <c r="B57" s="32" t="s">
        <v>100</v>
      </c>
      <c r="C57" s="31">
        <f>H20</f>
        <v>1062.3539491798422</v>
      </c>
      <c r="D57" s="5" t="s">
        <v>101</v>
      </c>
    </row>
    <row r="58" spans="1:12" x14ac:dyDescent="0.25">
      <c r="B58" s="32"/>
      <c r="C58" s="5" t="s">
        <v>102</v>
      </c>
    </row>
    <row r="59" spans="1:12" x14ac:dyDescent="0.25">
      <c r="B59" s="32"/>
      <c r="C59" s="5" t="s">
        <v>103</v>
      </c>
      <c r="D59" s="31">
        <f>G5</f>
        <v>20</v>
      </c>
      <c r="E59" s="5" t="s">
        <v>6</v>
      </c>
    </row>
    <row r="60" spans="1:12" x14ac:dyDescent="0.25">
      <c r="B60" s="32"/>
    </row>
    <row r="61" spans="1:12" x14ac:dyDescent="0.25">
      <c r="B61" s="32" t="s">
        <v>104</v>
      </c>
      <c r="C61" t="s">
        <v>105</v>
      </c>
    </row>
    <row r="62" spans="1:12" x14ac:dyDescent="0.25">
      <c r="B62" s="32"/>
      <c r="C62" t="s">
        <v>106</v>
      </c>
    </row>
    <row r="63" spans="1:12" x14ac:dyDescent="0.25">
      <c r="B63" s="32"/>
      <c r="C63" t="s">
        <v>107</v>
      </c>
    </row>
    <row r="64" spans="1:12" x14ac:dyDescent="0.25">
      <c r="B64" s="32"/>
      <c r="C64" t="s">
        <v>108</v>
      </c>
    </row>
    <row r="65" spans="2:3" x14ac:dyDescent="0.25">
      <c r="B65" s="32"/>
    </row>
    <row r="66" spans="2:3" x14ac:dyDescent="0.25">
      <c r="B66" s="32" t="s">
        <v>109</v>
      </c>
      <c r="C66" t="s">
        <v>110</v>
      </c>
    </row>
    <row r="67" spans="2:3" x14ac:dyDescent="0.25">
      <c r="C67" t="s">
        <v>111</v>
      </c>
    </row>
    <row r="69" spans="2:3" x14ac:dyDescent="0.25">
      <c r="B69" s="33" t="s">
        <v>112</v>
      </c>
    </row>
    <row r="79" spans="2:3" x14ac:dyDescent="0.25">
      <c r="C79" s="1"/>
    </row>
    <row r="80" spans="2:3" x14ac:dyDescent="0.25">
      <c r="C80" s="1"/>
    </row>
    <row r="81" spans="2:12" x14ac:dyDescent="0.25">
      <c r="C81" s="2"/>
    </row>
    <row r="82" spans="2:12" x14ac:dyDescent="0.25">
      <c r="C82" s="2"/>
    </row>
    <row r="83" spans="2:12" x14ac:dyDescent="0.25">
      <c r="C83" s="1"/>
    </row>
    <row r="84" spans="2:12" x14ac:dyDescent="0.25">
      <c r="C84" s="1"/>
    </row>
    <row r="85" spans="2:12" x14ac:dyDescent="0.25">
      <c r="C85" s="1"/>
    </row>
    <row r="86" spans="2:12" x14ac:dyDescent="0.25">
      <c r="C86" s="1"/>
    </row>
    <row r="87" spans="2:12" x14ac:dyDescent="0.25">
      <c r="C87" s="1"/>
    </row>
    <row r="88" spans="2:12" x14ac:dyDescent="0.25">
      <c r="C88" s="1"/>
    </row>
    <row r="90" spans="2:12" x14ac:dyDescent="0.25">
      <c r="C90" s="4"/>
      <c r="E90" s="1"/>
    </row>
    <row r="91" spans="2:12" x14ac:dyDescent="0.25">
      <c r="C91" s="4"/>
      <c r="E91" s="1"/>
    </row>
    <row r="96" spans="2:12" x14ac:dyDescent="0.25">
      <c r="B96" s="3"/>
      <c r="C96" s="3"/>
      <c r="D96" s="3"/>
      <c r="F96" s="3"/>
      <c r="G96" s="6"/>
      <c r="H96" s="1"/>
      <c r="I96" s="1"/>
      <c r="J96" s="1"/>
      <c r="K96" s="1"/>
      <c r="L96" s="1"/>
    </row>
    <row r="97" spans="2:7" x14ac:dyDescent="0.25">
      <c r="F97" s="3"/>
      <c r="G97" s="3"/>
    </row>
    <row r="98" spans="2:7" x14ac:dyDescent="0.25">
      <c r="B98" s="5"/>
      <c r="C98" s="5"/>
      <c r="D98" s="7"/>
      <c r="E98" s="5"/>
    </row>
    <row r="99" spans="2:7" x14ac:dyDescent="0.25">
      <c r="B99" s="5"/>
      <c r="C99" s="5"/>
      <c r="D99" s="7"/>
      <c r="E99" s="5"/>
    </row>
    <row r="101" spans="2:7" x14ac:dyDescent="0.25">
      <c r="B101" s="5"/>
    </row>
    <row r="102" spans="2:7" x14ac:dyDescent="0.25">
      <c r="B102" s="5"/>
    </row>
    <row r="103" spans="2:7" x14ac:dyDescent="0.25">
      <c r="B103" s="5"/>
    </row>
    <row r="105" spans="2:7" x14ac:dyDescent="0.25">
      <c r="C105" s="1"/>
    </row>
    <row r="106" spans="2:7" x14ac:dyDescent="0.25">
      <c r="C106" s="1"/>
    </row>
    <row r="107" spans="2:7" x14ac:dyDescent="0.25">
      <c r="C107" s="2"/>
    </row>
    <row r="108" spans="2:7" x14ac:dyDescent="0.25">
      <c r="C108" s="2"/>
    </row>
    <row r="109" spans="2:7" x14ac:dyDescent="0.25">
      <c r="C109" s="1"/>
    </row>
    <row r="110" spans="2:7" x14ac:dyDescent="0.25">
      <c r="C110" s="1"/>
    </row>
    <row r="111" spans="2:7" x14ac:dyDescent="0.25">
      <c r="C111" s="1"/>
    </row>
    <row r="112" spans="2:7" x14ac:dyDescent="0.25">
      <c r="C112" s="1"/>
    </row>
    <row r="113" spans="2:12" x14ac:dyDescent="0.25">
      <c r="C113" s="1"/>
    </row>
    <row r="114" spans="2:12" x14ac:dyDescent="0.25">
      <c r="C114" s="1"/>
    </row>
    <row r="116" spans="2:12" x14ac:dyDescent="0.25">
      <c r="C116" s="4"/>
      <c r="E116" s="1"/>
    </row>
    <row r="117" spans="2:12" x14ac:dyDescent="0.25">
      <c r="C117" s="4"/>
      <c r="E117" s="1"/>
    </row>
    <row r="122" spans="2:12" x14ac:dyDescent="0.25">
      <c r="B122" s="3"/>
      <c r="C122" s="3"/>
      <c r="D122" s="3"/>
      <c r="F122" s="3"/>
      <c r="G122" s="6"/>
      <c r="H122" s="1"/>
      <c r="I122" s="1"/>
      <c r="J122" s="1"/>
      <c r="K122" s="1"/>
      <c r="L122" s="1"/>
    </row>
    <row r="123" spans="2:12" x14ac:dyDescent="0.25">
      <c r="F123" s="3"/>
      <c r="G123" s="3"/>
    </row>
    <row r="124" spans="2:12" x14ac:dyDescent="0.25">
      <c r="B124" s="5"/>
      <c r="C124" s="5"/>
      <c r="D124" s="7"/>
      <c r="E124" s="5"/>
    </row>
    <row r="125" spans="2:12" x14ac:dyDescent="0.25">
      <c r="B125" s="5"/>
      <c r="C125" s="5"/>
      <c r="D125" s="7"/>
      <c r="E125" s="5"/>
    </row>
  </sheetData>
  <sheetProtection password="B5B2" sheet="1" objects="1" scenarios="1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Company>HEI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Heat Balance Calculator v1.1</dc:title>
  <dc:creator>HEI Group</dc:creator>
  <cp:lastModifiedBy>Admin</cp:lastModifiedBy>
  <dcterms:created xsi:type="dcterms:W3CDTF">2017-10-26T05:55:50Z</dcterms:created>
  <dcterms:modified xsi:type="dcterms:W3CDTF">2017-10-30T18:04:00Z</dcterms:modified>
</cp:coreProperties>
</file>