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8" windowWidth="8976" windowHeight="4272"/>
  </bookViews>
  <sheets>
    <sheet name="A" sheetId="1" r:id="rId1"/>
    <sheet name="B" sheetId="2" r:id="rId2"/>
  </sheets>
  <calcPr calcId="145621"/>
</workbook>
</file>

<file path=xl/calcChain.xml><?xml version="1.0" encoding="utf-8"?>
<calcChain xmlns="http://schemas.openxmlformats.org/spreadsheetml/2006/main">
  <c r="E4" i="1" l="1"/>
  <c r="E6" i="1"/>
  <c r="C10" i="1" s="1"/>
  <c r="E10" i="1" s="1"/>
  <c r="C13" i="1" s="1"/>
  <c r="E13" i="1" s="1"/>
  <c r="G6" i="1"/>
  <c r="E7" i="1"/>
  <c r="C11" i="1" s="1"/>
  <c r="E11" i="1" s="1"/>
  <c r="C14" i="1" s="1"/>
  <c r="E14" i="1" s="1"/>
  <c r="G7" i="1"/>
  <c r="C9" i="1"/>
  <c r="C18" i="1"/>
  <c r="C22" i="1"/>
  <c r="C23" i="1" s="1"/>
  <c r="C24" i="1" s="1"/>
  <c r="C25" i="1" s="1"/>
  <c r="D6" i="2"/>
  <c r="G13" i="2" s="1"/>
  <c r="H13" i="2" s="1"/>
  <c r="I13" i="2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D36" i="2"/>
  <c r="E42" i="2" s="1"/>
  <c r="F42" i="2" s="1"/>
  <c r="D37" i="2"/>
  <c r="D43" i="2" s="1"/>
  <c r="E44" i="2"/>
  <c r="D45" i="2"/>
  <c r="E58" i="2"/>
  <c r="E60" i="2"/>
  <c r="E62" i="2"/>
  <c r="E64" i="2"/>
  <c r="E65" i="2" s="1"/>
  <c r="H31" i="2" s="1"/>
  <c r="D67" i="2"/>
  <c r="D71" i="2"/>
  <c r="E71" i="2"/>
  <c r="C30" i="1" l="1"/>
  <c r="I18" i="1"/>
  <c r="E45" i="2"/>
  <c r="F44" i="2"/>
  <c r="D42" i="2"/>
  <c r="G22" i="2"/>
  <c r="H22" i="2" s="1"/>
  <c r="I22" i="2" s="1"/>
  <c r="G20" i="2"/>
  <c r="H20" i="2" s="1"/>
  <c r="I20" i="2" s="1"/>
  <c r="G18" i="2"/>
  <c r="H18" i="2" s="1"/>
  <c r="I18" i="2" s="1"/>
  <c r="G16" i="2"/>
  <c r="H16" i="2" s="1"/>
  <c r="I16" i="2" s="1"/>
  <c r="G14" i="2"/>
  <c r="H14" i="2" s="1"/>
  <c r="I14" i="2" s="1"/>
  <c r="G12" i="2"/>
  <c r="D44" i="2"/>
  <c r="E43" i="2"/>
  <c r="G23" i="2"/>
  <c r="H23" i="2" s="1"/>
  <c r="I23" i="2" s="1"/>
  <c r="G21" i="2"/>
  <c r="H21" i="2" s="1"/>
  <c r="I21" i="2" s="1"/>
  <c r="G19" i="2"/>
  <c r="H19" i="2" s="1"/>
  <c r="I19" i="2" s="1"/>
  <c r="G17" i="2"/>
  <c r="H17" i="2" s="1"/>
  <c r="I17" i="2" s="1"/>
  <c r="G15" i="2"/>
  <c r="H15" i="2" s="1"/>
  <c r="I15" i="2" s="1"/>
  <c r="I44" i="2"/>
  <c r="J44" i="2" s="1"/>
  <c r="H43" i="2" l="1"/>
  <c r="I43" i="2"/>
  <c r="J43" i="2" s="1"/>
  <c r="F43" i="2"/>
  <c r="G43" i="2"/>
  <c r="H12" i="2"/>
  <c r="G26" i="2"/>
  <c r="G27" i="2"/>
  <c r="G25" i="2"/>
  <c r="G28" i="2"/>
  <c r="F45" i="2"/>
  <c r="G45" i="2"/>
  <c r="H45" i="2"/>
  <c r="I45" i="2"/>
  <c r="J45" i="2" s="1"/>
  <c r="G44" i="2"/>
  <c r="H44" i="2" s="1"/>
  <c r="I19" i="1"/>
  <c r="C34" i="1"/>
  <c r="C31" i="1"/>
  <c r="C32" i="1"/>
  <c r="C33" i="1" s="1"/>
  <c r="J54" i="2" l="1"/>
  <c r="J52" i="2"/>
  <c r="J53" i="2"/>
  <c r="H52" i="2"/>
  <c r="H54" i="2"/>
  <c r="H53" i="2"/>
  <c r="G53" i="2"/>
  <c r="G52" i="2"/>
  <c r="G54" i="2"/>
  <c r="I21" i="1"/>
  <c r="E34" i="1"/>
  <c r="C37" i="1"/>
  <c r="C38" i="1"/>
  <c r="H28" i="2"/>
  <c r="I12" i="2"/>
  <c r="H26" i="2"/>
  <c r="H27" i="2"/>
  <c r="H25" i="2"/>
  <c r="I52" i="2"/>
  <c r="I54" i="2"/>
  <c r="I53" i="2"/>
  <c r="K42" i="2" l="1"/>
  <c r="L42" i="2" s="1"/>
  <c r="K43" i="2"/>
  <c r="L43" i="2" s="1"/>
  <c r="K44" i="2"/>
  <c r="L44" i="2" s="1"/>
  <c r="K45" i="2"/>
  <c r="L45" i="2" s="1"/>
  <c r="I25" i="2"/>
  <c r="I28" i="2"/>
  <c r="I26" i="2"/>
  <c r="I27" i="2"/>
  <c r="H30" i="2" s="1"/>
  <c r="H32" i="2" s="1"/>
</calcChain>
</file>

<file path=xl/sharedStrings.xml><?xml version="1.0" encoding="utf-8"?>
<sst xmlns="http://schemas.openxmlformats.org/spreadsheetml/2006/main" count="231" uniqueCount="176">
  <si>
    <t>Item</t>
  </si>
  <si>
    <t>Description</t>
  </si>
  <si>
    <t>Result 1</t>
  </si>
  <si>
    <t>Units 1</t>
  </si>
  <si>
    <t>Results 2</t>
  </si>
  <si>
    <t>Units 2</t>
  </si>
  <si>
    <t>Pipe Dia</t>
  </si>
  <si>
    <t>inches or</t>
  </si>
  <si>
    <t>feet</t>
  </si>
  <si>
    <t>Pipe Length</t>
  </si>
  <si>
    <t>Flow Min</t>
  </si>
  <si>
    <t>m3/day or</t>
  </si>
  <si>
    <t>ft3/day</t>
  </si>
  <si>
    <t>usgpm</t>
  </si>
  <si>
    <t>Flow max</t>
  </si>
  <si>
    <t>Pipe X-Section Area</t>
  </si>
  <si>
    <t>ft2</t>
  </si>
  <si>
    <t>Flow Velocity Min</t>
  </si>
  <si>
    <t>ft/day or</t>
  </si>
  <si>
    <t>ft/min</t>
  </si>
  <si>
    <t>Flow Velocity Max</t>
  </si>
  <si>
    <t>Max Residence Time</t>
  </si>
  <si>
    <t>min or</t>
  </si>
  <si>
    <t>hours</t>
  </si>
  <si>
    <t>Min Residence Time</t>
  </si>
  <si>
    <t>Stock Solution Make-up</t>
  </si>
  <si>
    <t>Summary</t>
  </si>
  <si>
    <t>Safety Factor to Apply to Volumes</t>
  </si>
  <si>
    <t>times</t>
  </si>
  <si>
    <t>Water Flow (Max)</t>
  </si>
  <si>
    <t xml:space="preserve">m3/day </t>
  </si>
  <si>
    <t>Mass of LiCl Required</t>
  </si>
  <si>
    <t>g of LiCl</t>
  </si>
  <si>
    <t>Dosing Period</t>
  </si>
  <si>
    <t>minutes</t>
  </si>
  <si>
    <t>Approx. volume of LiCl solution</t>
  </si>
  <si>
    <t>L of Soln</t>
  </si>
  <si>
    <t>Minumum Target Li Concn</t>
  </si>
  <si>
    <t>mg/L</t>
  </si>
  <si>
    <t>Molecular Weight of Li</t>
  </si>
  <si>
    <t>g/mole</t>
  </si>
  <si>
    <t>Dosing Rate of LiCl Soln</t>
  </si>
  <si>
    <t>L/min</t>
  </si>
  <si>
    <t>Molecular Weight of LiCl</t>
  </si>
  <si>
    <t>Target LiCl Concn</t>
  </si>
  <si>
    <t>Multiplier</t>
  </si>
  <si>
    <t>g</t>
  </si>
  <si>
    <t>Solubility of LiCl in water</t>
  </si>
  <si>
    <t>g/L at 0 oC</t>
  </si>
  <si>
    <t>Percent LiCl in raw crystals</t>
  </si>
  <si>
    <t>%</t>
  </si>
  <si>
    <t>Specific Gravity of LiCl crystals</t>
  </si>
  <si>
    <t>Target LiCl Concn in Stock Soln</t>
  </si>
  <si>
    <t xml:space="preserve">g/L </t>
  </si>
  <si>
    <t>Total Volume of effluent water plus LiCl crystals</t>
  </si>
  <si>
    <t>L of LiCl soln</t>
  </si>
  <si>
    <t>Approx. Volume of effluent water to add to LiCl crystals</t>
  </si>
  <si>
    <t>L of water</t>
  </si>
  <si>
    <t>Stock Solution Concentration</t>
  </si>
  <si>
    <t>mg/L as LiCl</t>
  </si>
  <si>
    <t>mg/L as Li</t>
  </si>
  <si>
    <t>Stock Solution Dosing Rate</t>
  </si>
  <si>
    <t>L/min or</t>
  </si>
  <si>
    <t>mL/min</t>
  </si>
  <si>
    <t>Stock Solution Dilution Standards</t>
  </si>
  <si>
    <t>Minimum Dilution (Vol Basis)</t>
  </si>
  <si>
    <t>to 1</t>
  </si>
  <si>
    <t>Maximum Dilution (Vol Basis)</t>
  </si>
  <si>
    <t>Dilution Steps (in mL)</t>
  </si>
  <si>
    <t>Dilution Ratio</t>
  </si>
  <si>
    <t>Select Standards</t>
  </si>
  <si>
    <t>10:1000 + 25:500</t>
  </si>
  <si>
    <t>1:2000</t>
  </si>
  <si>
    <t>10:1000 + 20:500</t>
  </si>
  <si>
    <t>1:2500</t>
  </si>
  <si>
    <t>25:2000 + 25:1000</t>
  </si>
  <si>
    <t>1:3200</t>
  </si>
  <si>
    <t>10:1000 + 25:1000</t>
  </si>
  <si>
    <t>1:4000</t>
  </si>
  <si>
    <t>10:1000 + 20:1000</t>
  </si>
  <si>
    <t>1:5000</t>
  </si>
  <si>
    <t>25:2000 + 25:2000</t>
  </si>
  <si>
    <t>1:6400</t>
  </si>
  <si>
    <t>x</t>
  </si>
  <si>
    <t>10:1000 + 25:2000</t>
  </si>
  <si>
    <t>1:8000</t>
  </si>
  <si>
    <t>10:1000 + 20:2000</t>
  </si>
  <si>
    <t>1:10000</t>
  </si>
  <si>
    <t>25:2000 + 25:2000 + 500:1000</t>
  </si>
  <si>
    <t>1:12800</t>
  </si>
  <si>
    <t>50:500 + 25:2000 + 25:500</t>
  </si>
  <si>
    <t>1:16000</t>
  </si>
  <si>
    <t>50:500 + 10:1000 + 25:500</t>
  </si>
  <si>
    <t>1:20000</t>
  </si>
  <si>
    <t>50:500 + 10:1000 + 20:500</t>
  </si>
  <si>
    <t>1:25000</t>
  </si>
  <si>
    <t>50:500 + 25:2000 + 25:1000</t>
  </si>
  <si>
    <t>1:32000</t>
  </si>
  <si>
    <t>50:500 + 10:1000 + 25:1000</t>
  </si>
  <si>
    <t>1:40000</t>
  </si>
  <si>
    <t>50:500 + 10:1000 + 20:1000</t>
  </si>
  <si>
    <t>1:50000</t>
  </si>
  <si>
    <t>50:500 + 25:2000 + 25:2000</t>
  </si>
  <si>
    <t>1:64000</t>
  </si>
  <si>
    <t>50:500 + 10:1000 + 25:2000</t>
  </si>
  <si>
    <t>1:80000</t>
  </si>
  <si>
    <t>50:500 + 10:1000 + 20:2000</t>
  </si>
  <si>
    <t>1:100000</t>
  </si>
  <si>
    <t xml:space="preserve">Example: </t>
  </si>
  <si>
    <t>Make a 1:2000 solution:</t>
  </si>
  <si>
    <t>Step #1</t>
  </si>
  <si>
    <t>Add 10 mL of stock solution to 1000 mL of effluent (i.e. 10:1000)</t>
  </si>
  <si>
    <t>Step #2</t>
  </si>
  <si>
    <t>Now add 25 mL of the step #1 solution to 500 mL of effluent (i.e. 25:500)</t>
  </si>
  <si>
    <t>Summary nomenclature is therefore 10:1000 + 25:500.</t>
  </si>
  <si>
    <t>TABLE 1.0:  FLOW DATA FOR</t>
  </si>
  <si>
    <t>COMPANY ABC INC.</t>
  </si>
  <si>
    <t>Date (dd-mm-yy):</t>
  </si>
  <si>
    <t>LiCl Dose (mL/min):</t>
  </si>
  <si>
    <t>LiCl Mass Used (g as LiCl):</t>
  </si>
  <si>
    <t>Volume of LiCl Solution (L)</t>
  </si>
  <si>
    <t>LiCl Stock Concn (mg/L as Li):</t>
  </si>
  <si>
    <t>Time</t>
  </si>
  <si>
    <t xml:space="preserve">Instrument </t>
  </si>
  <si>
    <t>LiCl Concentration</t>
  </si>
  <si>
    <t xml:space="preserve">LiCl Flow </t>
  </si>
  <si>
    <t>Flow Difference</t>
  </si>
  <si>
    <t>(hh:mm)</t>
  </si>
  <si>
    <t>Flow (L/min)</t>
  </si>
  <si>
    <t>measured (mg/l)</t>
  </si>
  <si>
    <t>background (mg/l)</t>
  </si>
  <si>
    <t>demand (mg/l)</t>
  </si>
  <si>
    <t>(L/min)</t>
  </si>
  <si>
    <t>(%)</t>
  </si>
  <si>
    <t>Average</t>
  </si>
  <si>
    <t>Min</t>
  </si>
  <si>
    <t>Max</t>
  </si>
  <si>
    <t>Std Dev</t>
  </si>
  <si>
    <t>Maximum data error</t>
  </si>
  <si>
    <t>Tolerance of LiCl test</t>
  </si>
  <si>
    <t>TOTAL ERROR</t>
  </si>
  <si>
    <t>Flow Calibration Curve Data</t>
  </si>
  <si>
    <t>Sample Dilution</t>
  </si>
  <si>
    <t>Equivalent Flow</t>
  </si>
  <si>
    <t>Slope</t>
  </si>
  <si>
    <t>y-intercept</t>
  </si>
  <si>
    <t>Avg Calc</t>
  </si>
  <si>
    <t xml:space="preserve">Flow Difference </t>
  </si>
  <si>
    <t>Ratio</t>
  </si>
  <si>
    <t>expected (mg/L)</t>
  </si>
  <si>
    <t>(m^3/day)</t>
  </si>
  <si>
    <t>measured</t>
  </si>
  <si>
    <t>expected</t>
  </si>
  <si>
    <t>Error (%)</t>
  </si>
  <si>
    <t>Standard Deviation of Concentration of Stock Solution (A) is:</t>
  </si>
  <si>
    <t>1/2 x measuring error + 1/2 x reading error</t>
  </si>
  <si>
    <t>Standard deviation of feed rate of stock solution (B) is:</t>
  </si>
  <si>
    <t>1/2 x equipment error</t>
  </si>
  <si>
    <t>Standard deviation of concentration of effluent sample (C) is:</t>
  </si>
  <si>
    <t>1/2 x reading error + 1/2 x concentrate error</t>
  </si>
  <si>
    <t>Total standard deviation (TSD) is:</t>
  </si>
  <si>
    <t>SQRT(A^2+B^2+C^2)</t>
  </si>
  <si>
    <t>Tolerance is :</t>
  </si>
  <si>
    <t>2 x TSD</t>
  </si>
  <si>
    <t>Dosing Pump Error for:</t>
  </si>
  <si>
    <t>Dose Before</t>
  </si>
  <si>
    <t>Dose After</t>
  </si>
  <si>
    <t>Average Dose</t>
  </si>
  <si>
    <t>% Error</t>
  </si>
  <si>
    <t>ml/min</t>
  </si>
  <si>
    <t>NOTES:</t>
  </si>
  <si>
    <t>Inout new values into shaded cells.</t>
  </si>
  <si>
    <t>Flow Dilution Test - Version 1.1</t>
  </si>
  <si>
    <t>© 1998 - 2017, John Hibberd &amp; HEI Group. All rights reserved.</t>
  </si>
  <si>
    <t>Results 3</t>
  </si>
  <si>
    <t>Units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</si>
</sst>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\(&quot;$&quot;#,##0\)"/>
    <numFmt numFmtId="165" formatCode="0.000E+00"/>
    <numFmt numFmtId="166" formatCode="0.0000"/>
    <numFmt numFmtId="167" formatCode="0.000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/>
      <right style="thick">
        <color indexed="0"/>
      </right>
      <top style="thick">
        <color indexed="0"/>
      </top>
      <bottom style="thick">
        <color indexed="0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 style="thick">
        <color indexed="0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</cellStyleXfs>
  <cellXfs count="53">
    <xf numFmtId="0" fontId="0" fillId="0" borderId="0" xfId="0" applyAlignment="1"/>
    <xf numFmtId="165" fontId="0" fillId="0" borderId="2" xfId="0" applyNumberFormat="1" applyFill="1" applyBorder="1" applyAlignment="1">
      <alignment vertical="center"/>
    </xf>
    <xf numFmtId="0" fontId="4" fillId="0" borderId="0" xfId="0" applyFont="1" applyBorder="1" applyAlignment="1"/>
    <xf numFmtId="15" fontId="0" fillId="2" borderId="0" xfId="0" applyNumberFormat="1" applyFill="1" applyAlignment="1"/>
    <xf numFmtId="0" fontId="1" fillId="2" borderId="0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8" xfId="0" applyFill="1" applyBorder="1" applyAlignment="1"/>
    <xf numFmtId="0" fontId="0" fillId="0" borderId="2" xfId="0" applyFill="1" applyBorder="1" applyAlignment="1"/>
    <xf numFmtId="18" fontId="0" fillId="2" borderId="0" xfId="0" applyNumberFormat="1" applyFill="1" applyAlignment="1"/>
    <xf numFmtId="2" fontId="0" fillId="0" borderId="2" xfId="0" applyNumberFormat="1" applyFill="1" applyBorder="1" applyAlignment="1"/>
    <xf numFmtId="0" fontId="0" fillId="2" borderId="9" xfId="0" applyFill="1" applyBorder="1" applyAlignment="1"/>
    <xf numFmtId="0" fontId="3" fillId="2" borderId="0" xfId="0" applyFont="1" applyFill="1" applyBorder="1" applyAlignment="1"/>
    <xf numFmtId="2" fontId="0" fillId="2" borderId="0" xfId="0" applyNumberFormat="1" applyFill="1" applyAlignment="1"/>
    <xf numFmtId="2" fontId="3" fillId="2" borderId="0" xfId="0" applyNumberFormat="1" applyFont="1" applyFill="1" applyBorder="1" applyAlignment="1"/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166" fontId="0" fillId="2" borderId="0" xfId="0" applyNumberFormat="1" applyFill="1" applyAlignment="1"/>
    <xf numFmtId="2" fontId="0" fillId="0" borderId="2" xfId="0" applyNumberFormat="1" applyFill="1" applyBorder="1" applyAlignment="1">
      <alignment vertical="center"/>
    </xf>
    <xf numFmtId="0" fontId="4" fillId="2" borderId="0" xfId="0" applyFont="1" applyFill="1" applyBorder="1" applyAlignment="1"/>
    <xf numFmtId="167" fontId="0" fillId="0" borderId="2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1" fontId="0" fillId="0" borderId="2" xfId="0" applyNumberForma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2" borderId="4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0" fillId="2" borderId="2" xfId="0" applyNumberFormat="1" applyFill="1" applyBorder="1" applyAlignment="1"/>
    <xf numFmtId="2" fontId="0" fillId="2" borderId="10" xfId="0" applyNumberFormat="1" applyFill="1" applyBorder="1" applyAlignment="1"/>
    <xf numFmtId="0" fontId="0" fillId="2" borderId="2" xfId="0" applyFill="1" applyBorder="1" applyAlignment="1"/>
    <xf numFmtId="0" fontId="1" fillId="0" borderId="0" xfId="0" applyFont="1" applyBorder="1" applyAlignment="1"/>
    <xf numFmtId="167" fontId="0" fillId="2" borderId="2" xfId="0" applyNumberFormat="1" applyFill="1" applyBorder="1" applyAlignment="1"/>
    <xf numFmtId="166" fontId="0" fillId="2" borderId="2" xfId="0" applyNumberFormat="1" applyFill="1" applyBorder="1" applyAlignment="1"/>
    <xf numFmtId="166" fontId="0" fillId="0" borderId="2" xfId="0" applyNumberFormat="1" applyFill="1" applyBorder="1" applyAlignment="1"/>
    <xf numFmtId="15" fontId="0" fillId="3" borderId="10" xfId="0" applyNumberFormat="1" applyFill="1" applyBorder="1" applyAlignment="1" applyProtection="1">
      <protection locked="0"/>
    </xf>
    <xf numFmtId="2" fontId="0" fillId="3" borderId="10" xfId="0" applyNumberFormat="1" applyFill="1" applyBorder="1" applyAlignment="1" applyProtection="1">
      <protection locked="0"/>
    </xf>
    <xf numFmtId="18" fontId="0" fillId="3" borderId="2" xfId="0" applyNumberFormat="1" applyFill="1" applyBorder="1" applyAlignment="1" applyProtection="1">
      <protection locked="0"/>
    </xf>
    <xf numFmtId="167" fontId="0" fillId="3" borderId="2" xfId="0" applyNumberForma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2" fontId="0" fillId="3" borderId="2" xfId="0" applyNumberFormat="1" applyFill="1" applyBorder="1" applyAlignment="1" applyProtection="1">
      <protection locked="0"/>
    </xf>
    <xf numFmtId="166" fontId="0" fillId="3" borderId="2" xfId="0" applyNumberFormat="1" applyFill="1" applyBorder="1" applyAlignment="1" applyProtection="1">
      <protection locked="0"/>
    </xf>
    <xf numFmtId="2" fontId="0" fillId="3" borderId="0" xfId="0" applyNumberFormat="1" applyFill="1" applyAlignment="1" applyProtection="1">
      <protection locked="0"/>
    </xf>
    <xf numFmtId="2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/>
    <xf numFmtId="0" fontId="3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0" workbookViewId="0"/>
  </sheetViews>
  <sheetFormatPr defaultRowHeight="13.2" x14ac:dyDescent="0.25"/>
  <cols>
    <col min="1" max="1" width="4.6640625" customWidth="1"/>
    <col min="2" max="2" width="27.88671875" customWidth="1"/>
    <col min="3" max="3" width="12.33203125" customWidth="1"/>
    <col min="4" max="4" width="11.6640625" customWidth="1"/>
    <col min="5" max="5" width="11.109375" customWidth="1"/>
    <col min="7" max="7" width="11.6640625" customWidth="1"/>
    <col min="8" max="8" width="10.6640625" customWidth="1"/>
    <col min="9" max="9" width="11.6640625" customWidth="1"/>
  </cols>
  <sheetData>
    <row r="1" spans="1:8" ht="17.399999999999999" x14ac:dyDescent="0.3">
      <c r="A1" s="2" t="s">
        <v>172</v>
      </c>
    </row>
    <row r="3" spans="1:8" x14ac:dyDescent="0.2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8" t="s">
        <v>174</v>
      </c>
      <c r="H3" s="48" t="s">
        <v>175</v>
      </c>
    </row>
    <row r="4" spans="1:8" x14ac:dyDescent="0.25">
      <c r="A4" s="15">
        <v>1</v>
      </c>
      <c r="B4" s="15" t="s">
        <v>6</v>
      </c>
      <c r="C4" s="43">
        <v>42</v>
      </c>
      <c r="D4" s="15" t="s">
        <v>7</v>
      </c>
      <c r="E4" s="18">
        <f>C4/12</f>
        <v>3.5</v>
      </c>
      <c r="F4" s="15" t="s">
        <v>8</v>
      </c>
    </row>
    <row r="5" spans="1:8" x14ac:dyDescent="0.25">
      <c r="A5" s="15">
        <v>2</v>
      </c>
      <c r="B5" s="15" t="s">
        <v>9</v>
      </c>
      <c r="C5" s="43">
        <v>8000</v>
      </c>
      <c r="D5" s="15" t="s">
        <v>8</v>
      </c>
      <c r="E5" s="18"/>
      <c r="F5" s="15"/>
    </row>
    <row r="6" spans="1:8" x14ac:dyDescent="0.25">
      <c r="A6" s="15">
        <v>3</v>
      </c>
      <c r="B6" s="15" t="s">
        <v>10</v>
      </c>
      <c r="C6" s="43">
        <v>20000</v>
      </c>
      <c r="D6" s="15" t="s">
        <v>11</v>
      </c>
      <c r="E6" s="18">
        <f>35.3*C6</f>
        <v>706000</v>
      </c>
      <c r="F6" s="15" t="s">
        <v>12</v>
      </c>
      <c r="G6" s="18">
        <f>264*C6/(24*60)</f>
        <v>3666.6666666666665</v>
      </c>
      <c r="H6" s="15" t="s">
        <v>13</v>
      </c>
    </row>
    <row r="7" spans="1:8" x14ac:dyDescent="0.25">
      <c r="A7" s="15">
        <v>4</v>
      </c>
      <c r="B7" s="15" t="s">
        <v>14</v>
      </c>
      <c r="C7" s="43">
        <v>80000</v>
      </c>
      <c r="D7" s="15" t="s">
        <v>11</v>
      </c>
      <c r="E7" s="18">
        <f>35.3*C7</f>
        <v>2824000</v>
      </c>
      <c r="F7" s="15" t="s">
        <v>12</v>
      </c>
      <c r="G7" s="18">
        <f>264*C7/(24*60)</f>
        <v>14666.666666666666</v>
      </c>
      <c r="H7" s="15" t="s">
        <v>13</v>
      </c>
    </row>
    <row r="8" spans="1:8" x14ac:dyDescent="0.25">
      <c r="A8" s="15"/>
      <c r="B8" s="15"/>
      <c r="C8" s="18"/>
      <c r="D8" s="15"/>
      <c r="E8" s="18"/>
      <c r="F8" s="15"/>
    </row>
    <row r="9" spans="1:8" x14ac:dyDescent="0.25">
      <c r="A9" s="15">
        <v>5</v>
      </c>
      <c r="B9" s="15" t="s">
        <v>15</v>
      </c>
      <c r="C9" s="18">
        <f>3.14*(E4/2)^2</f>
        <v>9.6162500000000009</v>
      </c>
      <c r="D9" s="15" t="s">
        <v>16</v>
      </c>
      <c r="E9" s="18"/>
      <c r="F9" s="15"/>
    </row>
    <row r="10" spans="1:8" x14ac:dyDescent="0.25">
      <c r="A10" s="15">
        <v>6</v>
      </c>
      <c r="B10" s="15" t="s">
        <v>17</v>
      </c>
      <c r="C10" s="18">
        <f>E6/$C$9</f>
        <v>73417.392434680878</v>
      </c>
      <c r="D10" s="15" t="s">
        <v>18</v>
      </c>
      <c r="E10" s="18">
        <f>C10/(24*60)</f>
        <v>50.984300301861722</v>
      </c>
      <c r="F10" s="15" t="s">
        <v>19</v>
      </c>
    </row>
    <row r="11" spans="1:8" x14ac:dyDescent="0.25">
      <c r="A11" s="15">
        <v>7</v>
      </c>
      <c r="B11" s="15" t="s">
        <v>20</v>
      </c>
      <c r="C11" s="18">
        <f>E7/$C$9</f>
        <v>293669.56973872351</v>
      </c>
      <c r="D11" s="15" t="s">
        <v>18</v>
      </c>
      <c r="E11" s="18">
        <f>C11/(24*60)</f>
        <v>203.93720120744689</v>
      </c>
      <c r="F11" s="15" t="s">
        <v>19</v>
      </c>
    </row>
    <row r="12" spans="1:8" x14ac:dyDescent="0.25">
      <c r="A12" s="15"/>
      <c r="B12" s="15"/>
      <c r="C12" s="18"/>
      <c r="D12" s="15"/>
      <c r="E12" s="18"/>
      <c r="F12" s="15"/>
    </row>
    <row r="13" spans="1:8" x14ac:dyDescent="0.25">
      <c r="A13" s="15">
        <v>8</v>
      </c>
      <c r="B13" s="15" t="s">
        <v>21</v>
      </c>
      <c r="C13" s="18">
        <f>$C$5/E10</f>
        <v>156.91104815864023</v>
      </c>
      <c r="D13" s="15" t="s">
        <v>22</v>
      </c>
      <c r="E13" s="18">
        <f>C13/60</f>
        <v>2.6151841359773371</v>
      </c>
      <c r="F13" s="15" t="s">
        <v>23</v>
      </c>
    </row>
    <row r="14" spans="1:8" x14ac:dyDescent="0.25">
      <c r="A14" s="15">
        <v>9</v>
      </c>
      <c r="B14" s="15" t="s">
        <v>24</v>
      </c>
      <c r="C14" s="18">
        <f>$C$5/E11</f>
        <v>39.227762039660057</v>
      </c>
      <c r="D14" s="15" t="s">
        <v>22</v>
      </c>
      <c r="E14" s="18">
        <f>C14/60</f>
        <v>0.65379603399433428</v>
      </c>
      <c r="F14" s="15" t="s">
        <v>23</v>
      </c>
    </row>
    <row r="15" spans="1:8" x14ac:dyDescent="0.25">
      <c r="A15" s="16"/>
      <c r="B15" s="16"/>
      <c r="C15" s="16"/>
      <c r="D15" s="16"/>
      <c r="E15" s="16"/>
      <c r="F15" s="16"/>
    </row>
    <row r="16" spans="1:8" ht="15.6" x14ac:dyDescent="0.25">
      <c r="A16" s="27" t="s">
        <v>25</v>
      </c>
      <c r="B16" s="16"/>
      <c r="C16" s="16"/>
      <c r="D16" s="16"/>
      <c r="E16" s="16"/>
      <c r="F16" s="27" t="s">
        <v>26</v>
      </c>
    </row>
    <row r="17" spans="1:10" x14ac:dyDescent="0.25">
      <c r="A17" s="47" t="s">
        <v>0</v>
      </c>
      <c r="B17" s="47" t="s">
        <v>1</v>
      </c>
      <c r="C17" s="47" t="s">
        <v>2</v>
      </c>
      <c r="D17" s="47" t="s">
        <v>3</v>
      </c>
      <c r="E17" s="16"/>
      <c r="F17" s="50" t="s">
        <v>27</v>
      </c>
      <c r="G17" s="51"/>
      <c r="H17" s="52"/>
      <c r="I17" s="10">
        <v>1.2</v>
      </c>
      <c r="J17" s="8" t="s">
        <v>28</v>
      </c>
    </row>
    <row r="18" spans="1:10" x14ac:dyDescent="0.25">
      <c r="A18" s="15">
        <v>1</v>
      </c>
      <c r="B18" s="15" t="s">
        <v>29</v>
      </c>
      <c r="C18" s="43">
        <f>C7</f>
        <v>80000</v>
      </c>
      <c r="D18" s="15" t="s">
        <v>30</v>
      </c>
      <c r="E18" s="16"/>
      <c r="F18" s="50" t="s">
        <v>31</v>
      </c>
      <c r="G18" s="51"/>
      <c r="H18" s="52"/>
      <c r="I18" s="10">
        <f>I17*C25</f>
        <v>4887.3901138492574</v>
      </c>
      <c r="J18" s="8" t="s">
        <v>32</v>
      </c>
    </row>
    <row r="19" spans="1:10" x14ac:dyDescent="0.25">
      <c r="A19" s="15">
        <v>2</v>
      </c>
      <c r="B19" s="15" t="s">
        <v>33</v>
      </c>
      <c r="C19" s="43">
        <v>60</v>
      </c>
      <c r="D19" s="15" t="s">
        <v>34</v>
      </c>
      <c r="E19" s="16"/>
      <c r="F19" s="50" t="s">
        <v>35</v>
      </c>
      <c r="G19" s="51"/>
      <c r="H19" s="52"/>
      <c r="I19" s="10">
        <f>I17*C30</f>
        <v>97.747802276985155</v>
      </c>
      <c r="J19" s="8" t="s">
        <v>36</v>
      </c>
    </row>
    <row r="20" spans="1:10" x14ac:dyDescent="0.25">
      <c r="A20" s="15">
        <v>3</v>
      </c>
      <c r="B20" s="15" t="s">
        <v>37</v>
      </c>
      <c r="C20" s="43">
        <v>0.2</v>
      </c>
      <c r="D20" s="15" t="s">
        <v>38</v>
      </c>
      <c r="E20" s="16"/>
    </row>
    <row r="21" spans="1:10" x14ac:dyDescent="0.25">
      <c r="A21" s="15">
        <v>4</v>
      </c>
      <c r="B21" s="15" t="s">
        <v>39</v>
      </c>
      <c r="C21" s="18">
        <v>6.9390000000000001</v>
      </c>
      <c r="D21" s="15" t="s">
        <v>40</v>
      </c>
      <c r="E21" s="16"/>
      <c r="F21" s="50" t="s">
        <v>41</v>
      </c>
      <c r="G21" s="51"/>
      <c r="H21" s="52"/>
      <c r="I21" s="10">
        <f>C34</f>
        <v>1.3576083649581272</v>
      </c>
      <c r="J21" s="8" t="s">
        <v>42</v>
      </c>
    </row>
    <row r="22" spans="1:10" x14ac:dyDescent="0.25">
      <c r="A22" s="15">
        <v>5</v>
      </c>
      <c r="B22" s="15" t="s">
        <v>43</v>
      </c>
      <c r="C22" s="18">
        <f>6.939+35.453</f>
        <v>42.392000000000003</v>
      </c>
      <c r="D22" s="15" t="s">
        <v>40</v>
      </c>
      <c r="E22" s="16"/>
      <c r="F22" s="16"/>
    </row>
    <row r="23" spans="1:10" x14ac:dyDescent="0.25">
      <c r="A23" s="15">
        <v>6</v>
      </c>
      <c r="B23" s="15" t="s">
        <v>44</v>
      </c>
      <c r="C23" s="18">
        <f>C20*C22/C21</f>
        <v>1.2218475284623145</v>
      </c>
      <c r="D23" s="15" t="s">
        <v>38</v>
      </c>
      <c r="E23" s="16"/>
      <c r="F23" s="16"/>
    </row>
    <row r="24" spans="1:10" x14ac:dyDescent="0.25">
      <c r="A24" s="15">
        <v>7</v>
      </c>
      <c r="B24" s="15" t="s">
        <v>45</v>
      </c>
      <c r="C24" s="1">
        <f>C23/(24*60)</f>
        <v>8.4850522809882948E-4</v>
      </c>
      <c r="D24" s="15"/>
      <c r="E24" s="16"/>
      <c r="F24" s="16"/>
    </row>
    <row r="25" spans="1:10" x14ac:dyDescent="0.25">
      <c r="A25" s="15">
        <v>8</v>
      </c>
      <c r="B25" s="15" t="s">
        <v>31</v>
      </c>
      <c r="C25" s="18">
        <f>C24*C18*C19</f>
        <v>4072.8250948743816</v>
      </c>
      <c r="D25" s="15" t="s">
        <v>46</v>
      </c>
      <c r="E25" s="16"/>
      <c r="F25" s="16"/>
    </row>
    <row r="26" spans="1:10" x14ac:dyDescent="0.25">
      <c r="A26" s="15">
        <v>9</v>
      </c>
      <c r="B26" s="15" t="s">
        <v>47</v>
      </c>
      <c r="C26" s="43">
        <v>637</v>
      </c>
      <c r="D26" s="15" t="s">
        <v>48</v>
      </c>
    </row>
    <row r="27" spans="1:10" x14ac:dyDescent="0.25">
      <c r="A27" s="15">
        <v>10</v>
      </c>
      <c r="B27" s="15" t="s">
        <v>49</v>
      </c>
      <c r="C27" s="43">
        <v>100</v>
      </c>
      <c r="D27" s="15" t="s">
        <v>50</v>
      </c>
    </row>
    <row r="28" spans="1:10" x14ac:dyDescent="0.25">
      <c r="A28" s="15">
        <v>11</v>
      </c>
      <c r="B28" s="15" t="s">
        <v>51</v>
      </c>
      <c r="C28" s="43">
        <v>2.0699999999999998</v>
      </c>
      <c r="D28" s="15"/>
    </row>
    <row r="29" spans="1:10" x14ac:dyDescent="0.25">
      <c r="A29" s="15">
        <v>12</v>
      </c>
      <c r="B29" s="15" t="s">
        <v>52</v>
      </c>
      <c r="C29" s="43">
        <v>50</v>
      </c>
      <c r="D29" s="15" t="s">
        <v>53</v>
      </c>
    </row>
    <row r="30" spans="1:10" ht="26.4" x14ac:dyDescent="0.25">
      <c r="A30" s="15">
        <v>13</v>
      </c>
      <c r="B30" s="26" t="s">
        <v>54</v>
      </c>
      <c r="C30" s="18">
        <f>C25*1/C29</f>
        <v>81.456501897487627</v>
      </c>
      <c r="D30" s="15" t="s">
        <v>55</v>
      </c>
    </row>
    <row r="31" spans="1:10" ht="26.4" x14ac:dyDescent="0.25">
      <c r="A31" s="15">
        <v>14</v>
      </c>
      <c r="B31" s="26" t="s">
        <v>56</v>
      </c>
      <c r="C31" s="18">
        <f>C30-(C25/(C28*1000))</f>
        <v>79.488953542475855</v>
      </c>
      <c r="D31" s="15" t="s">
        <v>57</v>
      </c>
      <c r="E31" s="16"/>
      <c r="F31" s="16"/>
    </row>
    <row r="32" spans="1:10" x14ac:dyDescent="0.25">
      <c r="A32" s="15">
        <v>15</v>
      </c>
      <c r="B32" s="15" t="s">
        <v>58</v>
      </c>
      <c r="C32" s="18">
        <f>C25/(C30)*1000</f>
        <v>50000.000000000007</v>
      </c>
      <c r="D32" s="15" t="s">
        <v>59</v>
      </c>
      <c r="E32" s="16"/>
      <c r="F32" s="16"/>
    </row>
    <row r="33" spans="1:6" x14ac:dyDescent="0.25">
      <c r="A33" s="15">
        <v>16</v>
      </c>
      <c r="B33" s="15" t="s">
        <v>58</v>
      </c>
      <c r="C33" s="18">
        <f>C32*C21/C22</f>
        <v>8184.327231553124</v>
      </c>
      <c r="D33" s="15" t="s">
        <v>60</v>
      </c>
      <c r="E33" s="16"/>
      <c r="F33" s="16"/>
    </row>
    <row r="34" spans="1:6" x14ac:dyDescent="0.25">
      <c r="A34" s="15">
        <v>17</v>
      </c>
      <c r="B34" s="15" t="s">
        <v>61</v>
      </c>
      <c r="C34" s="20">
        <f>(+C30)/C19</f>
        <v>1.3576083649581272</v>
      </c>
      <c r="D34" s="15" t="s">
        <v>62</v>
      </c>
      <c r="E34" s="22">
        <f>C34*1000</f>
        <v>1357.6083649581271</v>
      </c>
      <c r="F34" s="15" t="s">
        <v>63</v>
      </c>
    </row>
    <row r="35" spans="1:6" x14ac:dyDescent="0.25">
      <c r="A35" s="16"/>
      <c r="B35" s="16"/>
      <c r="C35" s="16"/>
      <c r="D35" s="16"/>
      <c r="E35" s="16"/>
      <c r="F35" s="16"/>
    </row>
    <row r="36" spans="1:6" ht="15.6" x14ac:dyDescent="0.25">
      <c r="A36" s="27" t="s">
        <v>64</v>
      </c>
      <c r="B36" s="16"/>
      <c r="C36" s="16"/>
      <c r="D36" s="16"/>
      <c r="E36" s="16"/>
      <c r="F36" s="16"/>
    </row>
    <row r="37" spans="1:6" x14ac:dyDescent="0.25">
      <c r="A37" s="16"/>
      <c r="B37" s="16" t="s">
        <v>65</v>
      </c>
      <c r="C37" s="21">
        <f>(C6*1000/(60*24))/C34</f>
        <v>10230.409039441403</v>
      </c>
      <c r="D37" s="16" t="s">
        <v>66</v>
      </c>
      <c r="E37" s="16"/>
      <c r="F37" s="16"/>
    </row>
    <row r="38" spans="1:6" x14ac:dyDescent="0.25">
      <c r="A38" s="16"/>
      <c r="B38" s="16" t="s">
        <v>67</v>
      </c>
      <c r="C38" s="21">
        <f>(C7*1000/(60*24))/C34</f>
        <v>40921.636157765613</v>
      </c>
      <c r="D38" s="16" t="s">
        <v>66</v>
      </c>
      <c r="E38" s="16"/>
      <c r="F38" s="16"/>
    </row>
    <row r="39" spans="1:6" x14ac:dyDescent="0.25">
      <c r="A39" s="16"/>
      <c r="E39" s="16"/>
      <c r="F39" s="16"/>
    </row>
    <row r="40" spans="1:6" ht="26.4" x14ac:dyDescent="0.25">
      <c r="A40" s="47" t="s">
        <v>0</v>
      </c>
      <c r="B40" s="47" t="s">
        <v>68</v>
      </c>
      <c r="C40" s="49" t="s">
        <v>69</v>
      </c>
      <c r="D40" s="49" t="s">
        <v>70</v>
      </c>
      <c r="E40" s="16"/>
      <c r="F40" s="16"/>
    </row>
    <row r="41" spans="1:6" x14ac:dyDescent="0.25">
      <c r="A41" s="15">
        <v>1</v>
      </c>
      <c r="B41" s="15" t="s">
        <v>71</v>
      </c>
      <c r="C41" s="15" t="s">
        <v>72</v>
      </c>
      <c r="D41" s="44"/>
      <c r="E41" s="45"/>
      <c r="F41" s="16"/>
    </row>
    <row r="42" spans="1:6" x14ac:dyDescent="0.25">
      <c r="A42" s="15">
        <v>2</v>
      </c>
      <c r="B42" s="15" t="s">
        <v>73</v>
      </c>
      <c r="C42" s="15" t="s">
        <v>74</v>
      </c>
      <c r="D42" s="44"/>
      <c r="E42" s="45"/>
      <c r="F42" s="16"/>
    </row>
    <row r="43" spans="1:6" x14ac:dyDescent="0.25">
      <c r="A43" s="15">
        <v>3</v>
      </c>
      <c r="B43" s="15" t="s">
        <v>75</v>
      </c>
      <c r="C43" s="15" t="s">
        <v>76</v>
      </c>
      <c r="D43" s="44"/>
      <c r="E43" s="45"/>
      <c r="F43" s="16"/>
    </row>
    <row r="44" spans="1:6" x14ac:dyDescent="0.25">
      <c r="A44" s="15">
        <v>4</v>
      </c>
      <c r="B44" s="15" t="s">
        <v>77</v>
      </c>
      <c r="C44" s="15" t="s">
        <v>78</v>
      </c>
      <c r="D44" s="44"/>
      <c r="E44" s="45"/>
      <c r="F44" s="16"/>
    </row>
    <row r="45" spans="1:6" x14ac:dyDescent="0.25">
      <c r="A45" s="15">
        <v>5</v>
      </c>
      <c r="B45" s="15" t="s">
        <v>79</v>
      </c>
      <c r="C45" s="15" t="s">
        <v>80</v>
      </c>
      <c r="D45" s="44"/>
      <c r="E45" s="45"/>
      <c r="F45" s="16"/>
    </row>
    <row r="46" spans="1:6" x14ac:dyDescent="0.25">
      <c r="A46" s="15">
        <v>6</v>
      </c>
      <c r="B46" s="15" t="s">
        <v>81</v>
      </c>
      <c r="C46" s="15" t="s">
        <v>82</v>
      </c>
      <c r="D46" s="44" t="s">
        <v>83</v>
      </c>
      <c r="E46" s="45"/>
      <c r="F46" s="16"/>
    </row>
    <row r="47" spans="1:6" x14ac:dyDescent="0.25">
      <c r="A47" s="15">
        <v>7</v>
      </c>
      <c r="B47" s="15" t="s">
        <v>84</v>
      </c>
      <c r="C47" s="15" t="s">
        <v>85</v>
      </c>
      <c r="D47" s="44" t="s">
        <v>83</v>
      </c>
      <c r="E47" s="45"/>
      <c r="F47" s="16"/>
    </row>
    <row r="48" spans="1:6" x14ac:dyDescent="0.25">
      <c r="A48" s="15">
        <v>8</v>
      </c>
      <c r="B48" s="15" t="s">
        <v>86</v>
      </c>
      <c r="C48" s="15" t="s">
        <v>87</v>
      </c>
      <c r="D48" s="44" t="s">
        <v>83</v>
      </c>
      <c r="E48" s="45" t="s">
        <v>83</v>
      </c>
      <c r="F48" s="16"/>
    </row>
    <row r="49" spans="1:6" x14ac:dyDescent="0.25">
      <c r="A49" s="15">
        <v>9</v>
      </c>
      <c r="B49" s="15" t="s">
        <v>88</v>
      </c>
      <c r="C49" s="15" t="s">
        <v>89</v>
      </c>
      <c r="D49" s="44" t="s">
        <v>83</v>
      </c>
      <c r="E49" s="45"/>
      <c r="F49" s="16"/>
    </row>
    <row r="50" spans="1:6" x14ac:dyDescent="0.25">
      <c r="A50" s="15">
        <v>10</v>
      </c>
      <c r="B50" s="15" t="s">
        <v>90</v>
      </c>
      <c r="C50" s="15" t="s">
        <v>91</v>
      </c>
      <c r="D50" s="44" t="s">
        <v>83</v>
      </c>
      <c r="E50" s="45"/>
      <c r="F50" s="16"/>
    </row>
    <row r="51" spans="1:6" x14ac:dyDescent="0.25">
      <c r="A51" s="15">
        <v>11</v>
      </c>
      <c r="B51" s="15" t="s">
        <v>92</v>
      </c>
      <c r="C51" s="15" t="s">
        <v>93</v>
      </c>
      <c r="D51" s="44" t="s">
        <v>83</v>
      </c>
      <c r="E51" s="45" t="s">
        <v>83</v>
      </c>
      <c r="F51" s="16"/>
    </row>
    <row r="52" spans="1:6" x14ac:dyDescent="0.25">
      <c r="A52" s="15">
        <v>12</v>
      </c>
      <c r="B52" s="15" t="s">
        <v>94</v>
      </c>
      <c r="C52" s="15" t="s">
        <v>95</v>
      </c>
      <c r="D52" s="44" t="s">
        <v>83</v>
      </c>
      <c r="E52" s="45"/>
      <c r="F52" s="16"/>
    </row>
    <row r="53" spans="1:6" x14ac:dyDescent="0.25">
      <c r="A53" s="15">
        <v>13</v>
      </c>
      <c r="B53" s="15" t="s">
        <v>96</v>
      </c>
      <c r="C53" s="15" t="s">
        <v>97</v>
      </c>
      <c r="D53" s="44" t="s">
        <v>83</v>
      </c>
      <c r="E53" s="45"/>
      <c r="F53" s="16"/>
    </row>
    <row r="54" spans="1:6" x14ac:dyDescent="0.25">
      <c r="A54" s="15">
        <v>14</v>
      </c>
      <c r="B54" s="15" t="s">
        <v>98</v>
      </c>
      <c r="C54" s="15" t="s">
        <v>99</v>
      </c>
      <c r="D54" s="44" t="s">
        <v>83</v>
      </c>
      <c r="E54" s="45" t="s">
        <v>83</v>
      </c>
      <c r="F54" s="16"/>
    </row>
    <row r="55" spans="1:6" x14ac:dyDescent="0.25">
      <c r="A55" s="15">
        <v>15</v>
      </c>
      <c r="B55" s="15" t="s">
        <v>100</v>
      </c>
      <c r="C55" s="15" t="s">
        <v>101</v>
      </c>
      <c r="D55" s="44" t="s">
        <v>83</v>
      </c>
      <c r="E55" s="45"/>
      <c r="F55" s="16"/>
    </row>
    <row r="56" spans="1:6" x14ac:dyDescent="0.25">
      <c r="A56" s="15">
        <v>16</v>
      </c>
      <c r="B56" s="15" t="s">
        <v>102</v>
      </c>
      <c r="C56" s="15" t="s">
        <v>103</v>
      </c>
      <c r="D56" s="44" t="s">
        <v>83</v>
      </c>
      <c r="E56" s="45" t="s">
        <v>83</v>
      </c>
      <c r="F56" s="16"/>
    </row>
    <row r="57" spans="1:6" x14ac:dyDescent="0.25">
      <c r="A57" s="15">
        <v>17</v>
      </c>
      <c r="B57" s="15" t="s">
        <v>104</v>
      </c>
      <c r="C57" s="15" t="s">
        <v>105</v>
      </c>
      <c r="D57" s="44"/>
      <c r="E57" s="45"/>
      <c r="F57" s="16"/>
    </row>
    <row r="58" spans="1:6" x14ac:dyDescent="0.25">
      <c r="A58" s="15">
        <v>18</v>
      </c>
      <c r="B58" s="15" t="s">
        <v>106</v>
      </c>
      <c r="C58" s="15" t="s">
        <v>107</v>
      </c>
      <c r="D58" s="44"/>
      <c r="E58" s="45"/>
      <c r="F58" s="16"/>
    </row>
    <row r="59" spans="1:6" x14ac:dyDescent="0.25">
      <c r="E59" s="16"/>
      <c r="F59" s="16"/>
    </row>
    <row r="60" spans="1:6" x14ac:dyDescent="0.25">
      <c r="A60" s="16"/>
      <c r="B60" s="23" t="s">
        <v>108</v>
      </c>
      <c r="C60" s="16" t="s">
        <v>109</v>
      </c>
      <c r="D60" s="16"/>
      <c r="E60" s="16"/>
      <c r="F60" s="16"/>
    </row>
    <row r="61" spans="1:6" x14ac:dyDescent="0.25">
      <c r="A61" s="16"/>
      <c r="B61" s="24" t="s">
        <v>110</v>
      </c>
      <c r="C61" s="16" t="s">
        <v>111</v>
      </c>
      <c r="D61" s="16"/>
      <c r="E61" s="16"/>
      <c r="F61" s="16"/>
    </row>
    <row r="62" spans="1:6" x14ac:dyDescent="0.25">
      <c r="A62" s="16"/>
      <c r="B62" s="24" t="s">
        <v>112</v>
      </c>
      <c r="C62" s="16" t="s">
        <v>113</v>
      </c>
      <c r="D62" s="16"/>
      <c r="E62" s="16"/>
      <c r="F62" s="16"/>
    </row>
    <row r="63" spans="1:6" x14ac:dyDescent="0.25">
      <c r="A63" s="16"/>
      <c r="B63" s="16"/>
      <c r="C63" s="16" t="s">
        <v>114</v>
      </c>
      <c r="D63" s="16"/>
      <c r="E63" s="16"/>
      <c r="F63" s="16"/>
    </row>
    <row r="64" spans="1:6" x14ac:dyDescent="0.25">
      <c r="A64" s="16"/>
      <c r="B64" s="16"/>
      <c r="C64" s="16"/>
      <c r="D64" s="16"/>
    </row>
    <row r="65" spans="1:1" x14ac:dyDescent="0.25">
      <c r="A65" s="46" t="s">
        <v>173</v>
      </c>
    </row>
  </sheetData>
  <sheetProtection password="B7F2" sheet="1" objects="1" scenarios="1"/>
  <mergeCells count="4">
    <mergeCell ref="F17:H17"/>
    <mergeCell ref="F18:H18"/>
    <mergeCell ref="F19:H19"/>
    <mergeCell ref="F21:H21"/>
  </mergeCells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75" workbookViewId="0"/>
  </sheetViews>
  <sheetFormatPr defaultRowHeight="13.2" x14ac:dyDescent="0.25"/>
  <cols>
    <col min="2" max="2" width="14.5546875" customWidth="1"/>
    <col min="3" max="3" width="17" customWidth="1"/>
    <col min="4" max="4" width="17.44140625" customWidth="1"/>
    <col min="5" max="5" width="16.44140625" customWidth="1"/>
    <col min="6" max="6" width="16.33203125" customWidth="1"/>
    <col min="7" max="7" width="12" customWidth="1"/>
    <col min="8" max="8" width="14.33203125" customWidth="1"/>
    <col min="9" max="9" width="14" customWidth="1"/>
    <col min="10" max="10" width="10" customWidth="1"/>
    <col min="11" max="11" width="11.33203125" customWidth="1"/>
    <col min="12" max="12" width="13.109375" customWidth="1"/>
    <col min="14" max="14" width="9.6640625" customWidth="1"/>
  </cols>
  <sheetData>
    <row r="1" spans="1:9" ht="22.8" x14ac:dyDescent="0.4">
      <c r="B1" s="4" t="s">
        <v>115</v>
      </c>
      <c r="C1" s="4"/>
      <c r="D1" s="4"/>
      <c r="E1" s="31" t="s">
        <v>116</v>
      </c>
    </row>
    <row r="2" spans="1:9" x14ac:dyDescent="0.25">
      <c r="B2" s="5" t="s">
        <v>117</v>
      </c>
      <c r="C2" s="11"/>
      <c r="D2" s="35">
        <v>36336</v>
      </c>
    </row>
    <row r="3" spans="1:9" x14ac:dyDescent="0.25">
      <c r="B3" s="5" t="s">
        <v>118</v>
      </c>
      <c r="C3" s="11"/>
      <c r="D3" s="36">
        <v>1250</v>
      </c>
    </row>
    <row r="4" spans="1:9" x14ac:dyDescent="0.25">
      <c r="B4" s="5" t="s">
        <v>119</v>
      </c>
      <c r="C4" s="11"/>
      <c r="D4" s="36">
        <v>5000</v>
      </c>
    </row>
    <row r="5" spans="1:9" x14ac:dyDescent="0.25">
      <c r="B5" s="5" t="s">
        <v>120</v>
      </c>
      <c r="C5" s="11"/>
      <c r="D5" s="36">
        <v>95</v>
      </c>
    </row>
    <row r="6" spans="1:9" x14ac:dyDescent="0.25">
      <c r="B6" s="5" t="s">
        <v>121</v>
      </c>
      <c r="C6" s="11"/>
      <c r="D6" s="29">
        <f>D4*(6.94/42.39)*1000/(D5)</f>
        <v>8616.7293676512581</v>
      </c>
    </row>
    <row r="8" spans="1:9" x14ac:dyDescent="0.25">
      <c r="A8" s="3"/>
    </row>
    <row r="9" spans="1:9" x14ac:dyDescent="0.25">
      <c r="A9" s="3"/>
      <c r="B9" s="6" t="s">
        <v>122</v>
      </c>
      <c r="C9" s="6" t="s">
        <v>123</v>
      </c>
      <c r="D9" s="6" t="s">
        <v>124</v>
      </c>
      <c r="E9" s="6" t="s">
        <v>124</v>
      </c>
      <c r="F9" s="6" t="s">
        <v>124</v>
      </c>
      <c r="G9" s="6" t="s">
        <v>125</v>
      </c>
      <c r="H9" s="6" t="s">
        <v>126</v>
      </c>
      <c r="I9" s="6" t="s">
        <v>126</v>
      </c>
    </row>
    <row r="10" spans="1:9" x14ac:dyDescent="0.25">
      <c r="A10" s="3"/>
      <c r="B10" s="7" t="s">
        <v>127</v>
      </c>
      <c r="C10" s="7" t="s">
        <v>128</v>
      </c>
      <c r="D10" s="7" t="s">
        <v>129</v>
      </c>
      <c r="E10" s="7" t="s">
        <v>130</v>
      </c>
      <c r="F10" s="7" t="s">
        <v>131</v>
      </c>
      <c r="G10" s="7" t="s">
        <v>132</v>
      </c>
      <c r="H10" s="7" t="s">
        <v>132</v>
      </c>
      <c r="I10" s="7" t="s">
        <v>133</v>
      </c>
    </row>
    <row r="11" spans="1:9" x14ac:dyDescent="0.25">
      <c r="A11" s="3"/>
    </row>
    <row r="12" spans="1:9" x14ac:dyDescent="0.25">
      <c r="A12" s="3"/>
      <c r="B12" s="37">
        <v>0.47916666666666669</v>
      </c>
      <c r="C12" s="38">
        <v>27800</v>
      </c>
      <c r="D12" s="38">
        <v>0.4</v>
      </c>
      <c r="E12" s="39">
        <v>0</v>
      </c>
      <c r="F12" s="39">
        <v>0</v>
      </c>
      <c r="G12" s="32">
        <f t="shared" ref="G12:G23" si="0">$D$6*$D$3/(D12-E12+F12)/1000</f>
        <v>26927.279273910179</v>
      </c>
      <c r="H12" s="32">
        <f t="shared" ref="H12:H23" si="1">C12-G12</f>
        <v>872.72072608982126</v>
      </c>
      <c r="I12" s="32">
        <f t="shared" ref="I12:I23" si="2">ABS(H12/G12*100)</f>
        <v>3.2410282420749419</v>
      </c>
    </row>
    <row r="13" spans="1:9" x14ac:dyDescent="0.25">
      <c r="A13" s="3"/>
      <c r="B13" s="37">
        <f t="shared" ref="B13:B23" si="3">B12+(15/(60*24))</f>
        <v>0.48958333333333337</v>
      </c>
      <c r="C13" s="38">
        <v>27800</v>
      </c>
      <c r="D13" s="38">
        <v>0.45</v>
      </c>
      <c r="E13" s="39">
        <v>0</v>
      </c>
      <c r="F13" s="39">
        <v>0</v>
      </c>
      <c r="G13" s="32">
        <f t="shared" si="0"/>
        <v>23935.359354586828</v>
      </c>
      <c r="H13" s="32">
        <f t="shared" si="1"/>
        <v>3864.640645413172</v>
      </c>
      <c r="I13" s="32">
        <f t="shared" si="2"/>
        <v>16.146156772334297</v>
      </c>
    </row>
    <row r="14" spans="1:9" x14ac:dyDescent="0.25">
      <c r="A14" s="3"/>
      <c r="B14" s="37">
        <f t="shared" si="3"/>
        <v>0.5</v>
      </c>
      <c r="C14" s="38">
        <v>27800</v>
      </c>
      <c r="D14" s="38">
        <v>0.44</v>
      </c>
      <c r="E14" s="39">
        <v>0</v>
      </c>
      <c r="F14" s="39">
        <v>0</v>
      </c>
      <c r="G14" s="32">
        <f t="shared" si="0"/>
        <v>24479.344794463803</v>
      </c>
      <c r="H14" s="32">
        <f t="shared" si="1"/>
        <v>3320.6552055361972</v>
      </c>
      <c r="I14" s="32">
        <f t="shared" si="2"/>
        <v>13.565131066282419</v>
      </c>
    </row>
    <row r="15" spans="1:9" x14ac:dyDescent="0.25">
      <c r="A15" s="3"/>
      <c r="B15" s="37">
        <f t="shared" si="3"/>
        <v>0.51041666666666663</v>
      </c>
      <c r="C15" s="38">
        <v>27800</v>
      </c>
      <c r="D15" s="38">
        <v>0.4</v>
      </c>
      <c r="E15" s="39">
        <v>0</v>
      </c>
      <c r="F15" s="39">
        <v>0</v>
      </c>
      <c r="G15" s="32">
        <f t="shared" si="0"/>
        <v>26927.279273910179</v>
      </c>
      <c r="H15" s="32">
        <f t="shared" si="1"/>
        <v>872.72072608982126</v>
      </c>
      <c r="I15" s="32">
        <f t="shared" si="2"/>
        <v>3.2410282420749419</v>
      </c>
    </row>
    <row r="16" spans="1:9" x14ac:dyDescent="0.25">
      <c r="A16" s="3"/>
      <c r="B16" s="37">
        <f t="shared" si="3"/>
        <v>0.52083333333333326</v>
      </c>
      <c r="C16" s="38">
        <v>27800</v>
      </c>
      <c r="D16" s="38">
        <v>0.39</v>
      </c>
      <c r="E16" s="39">
        <v>0</v>
      </c>
      <c r="F16" s="39">
        <v>0</v>
      </c>
      <c r="G16" s="32">
        <f t="shared" si="0"/>
        <v>27617.72233221557</v>
      </c>
      <c r="H16" s="32">
        <f t="shared" si="1"/>
        <v>182.27766778443038</v>
      </c>
      <c r="I16" s="32">
        <f t="shared" si="2"/>
        <v>0.66000253602306225</v>
      </c>
    </row>
    <row r="17" spans="1:9" x14ac:dyDescent="0.25">
      <c r="A17" s="3"/>
      <c r="B17" s="37">
        <f t="shared" si="3"/>
        <v>0.53124999999999989</v>
      </c>
      <c r="C17" s="38">
        <v>27800</v>
      </c>
      <c r="D17" s="38">
        <v>0.42</v>
      </c>
      <c r="E17" s="39">
        <v>0</v>
      </c>
      <c r="F17" s="39">
        <v>0</v>
      </c>
      <c r="G17" s="32">
        <f t="shared" si="0"/>
        <v>25645.027879914458</v>
      </c>
      <c r="H17" s="32">
        <f t="shared" si="1"/>
        <v>2154.972120085542</v>
      </c>
      <c r="I17" s="32">
        <f t="shared" si="2"/>
        <v>8.4030796541786792</v>
      </c>
    </row>
    <row r="18" spans="1:9" x14ac:dyDescent="0.25">
      <c r="A18" s="3"/>
      <c r="B18" s="37">
        <f t="shared" si="3"/>
        <v>0.54166666666666652</v>
      </c>
      <c r="C18" s="38">
        <v>27800</v>
      </c>
      <c r="D18" s="38">
        <v>0.4</v>
      </c>
      <c r="E18" s="39">
        <v>0</v>
      </c>
      <c r="F18" s="39">
        <v>0</v>
      </c>
      <c r="G18" s="32">
        <f t="shared" si="0"/>
        <v>26927.279273910179</v>
      </c>
      <c r="H18" s="32">
        <f t="shared" si="1"/>
        <v>872.72072608982126</v>
      </c>
      <c r="I18" s="32">
        <f t="shared" si="2"/>
        <v>3.2410282420749419</v>
      </c>
    </row>
    <row r="19" spans="1:9" x14ac:dyDescent="0.25">
      <c r="A19" s="3"/>
      <c r="B19" s="37">
        <f t="shared" si="3"/>
        <v>0.55208333333333315</v>
      </c>
      <c r="C19" s="38">
        <v>27800</v>
      </c>
      <c r="D19" s="38">
        <v>0.41</v>
      </c>
      <c r="E19" s="39">
        <v>0</v>
      </c>
      <c r="F19" s="39">
        <v>0</v>
      </c>
      <c r="G19" s="32">
        <f t="shared" si="0"/>
        <v>26270.516364790426</v>
      </c>
      <c r="H19" s="32">
        <f t="shared" si="1"/>
        <v>1529.4836352095735</v>
      </c>
      <c r="I19" s="32">
        <f t="shared" si="2"/>
        <v>5.8220539481267828</v>
      </c>
    </row>
    <row r="20" spans="1:9" x14ac:dyDescent="0.25">
      <c r="B20" s="37">
        <f t="shared" si="3"/>
        <v>0.56249999999999978</v>
      </c>
      <c r="C20" s="38">
        <v>27800</v>
      </c>
      <c r="D20" s="38">
        <v>0.41</v>
      </c>
      <c r="E20" s="39">
        <v>0</v>
      </c>
      <c r="F20" s="39">
        <v>0</v>
      </c>
      <c r="G20" s="32">
        <f t="shared" si="0"/>
        <v>26270.516364790426</v>
      </c>
      <c r="H20" s="32">
        <f t="shared" si="1"/>
        <v>1529.4836352095735</v>
      </c>
      <c r="I20" s="32">
        <f t="shared" si="2"/>
        <v>5.8220539481267828</v>
      </c>
    </row>
    <row r="21" spans="1:9" x14ac:dyDescent="0.25">
      <c r="B21" s="37">
        <f t="shared" si="3"/>
        <v>0.57291666666666641</v>
      </c>
      <c r="C21" s="38">
        <v>27800</v>
      </c>
      <c r="D21" s="38">
        <v>0.45</v>
      </c>
      <c r="E21" s="39">
        <v>0</v>
      </c>
      <c r="F21" s="39">
        <v>0</v>
      </c>
      <c r="G21" s="32">
        <f t="shared" si="0"/>
        <v>23935.359354586828</v>
      </c>
      <c r="H21" s="32">
        <f t="shared" si="1"/>
        <v>3864.640645413172</v>
      </c>
      <c r="I21" s="32">
        <f t="shared" si="2"/>
        <v>16.146156772334297</v>
      </c>
    </row>
    <row r="22" spans="1:9" x14ac:dyDescent="0.25">
      <c r="B22" s="37">
        <f t="shared" si="3"/>
        <v>0.58333333333333304</v>
      </c>
      <c r="C22" s="38">
        <v>27800</v>
      </c>
      <c r="D22" s="38">
        <v>0.42</v>
      </c>
      <c r="E22" s="39">
        <v>0</v>
      </c>
      <c r="F22" s="39">
        <v>0</v>
      </c>
      <c r="G22" s="32">
        <f t="shared" si="0"/>
        <v>25645.027879914458</v>
      </c>
      <c r="H22" s="32">
        <f t="shared" si="1"/>
        <v>2154.972120085542</v>
      </c>
      <c r="I22" s="32">
        <f t="shared" si="2"/>
        <v>8.4030796541786792</v>
      </c>
    </row>
    <row r="23" spans="1:9" x14ac:dyDescent="0.25">
      <c r="B23" s="37">
        <f t="shared" si="3"/>
        <v>0.59374999999999967</v>
      </c>
      <c r="C23" s="38">
        <v>27800</v>
      </c>
      <c r="D23" s="38">
        <v>0.44</v>
      </c>
      <c r="E23" s="39">
        <v>0</v>
      </c>
      <c r="F23" s="39">
        <v>0</v>
      </c>
      <c r="G23" s="32">
        <f t="shared" si="0"/>
        <v>24479.344794463803</v>
      </c>
      <c r="H23" s="32">
        <f t="shared" si="1"/>
        <v>3320.6552055361972</v>
      </c>
      <c r="I23" s="32">
        <f t="shared" si="2"/>
        <v>13.565131066282419</v>
      </c>
    </row>
    <row r="24" spans="1:9" x14ac:dyDescent="0.25">
      <c r="B24" s="9"/>
    </row>
    <row r="25" spans="1:9" x14ac:dyDescent="0.25">
      <c r="F25" s="8" t="s">
        <v>134</v>
      </c>
      <c r="G25" s="28">
        <f>AVERAGE(G12:G24)</f>
        <v>25755.004745121434</v>
      </c>
      <c r="H25" s="28">
        <f>AVERAGE(H12:H24)</f>
        <v>2044.995254878572</v>
      </c>
      <c r="I25" s="28">
        <f>AVERAGE(I12:I24)</f>
        <v>8.1879941786743533</v>
      </c>
    </row>
    <row r="26" spans="1:9" x14ac:dyDescent="0.25">
      <c r="F26" s="8" t="s">
        <v>135</v>
      </c>
      <c r="G26" s="28">
        <f>MIN(G12:G24)</f>
        <v>23935.359354586828</v>
      </c>
      <c r="H26" s="28">
        <f>MIN(H12:H24)</f>
        <v>182.27766778443038</v>
      </c>
      <c r="I26" s="28">
        <f>MIN(I12:I24)</f>
        <v>0.66000253602306225</v>
      </c>
    </row>
    <row r="27" spans="1:9" x14ac:dyDescent="0.25">
      <c r="F27" s="8" t="s">
        <v>136</v>
      </c>
      <c r="G27" s="28">
        <f>MAX(G12:G24)</f>
        <v>27617.72233221557</v>
      </c>
      <c r="H27" s="28">
        <f>MAX(H12:H24)</f>
        <v>3864.640645413172</v>
      </c>
      <c r="I27" s="28">
        <f>MAX(I12:I24)</f>
        <v>16.146156772334297</v>
      </c>
    </row>
    <row r="28" spans="1:9" x14ac:dyDescent="0.25">
      <c r="F28" s="8" t="s">
        <v>137</v>
      </c>
      <c r="G28" s="28">
        <f>STDEVP(G12:G24)</f>
        <v>1225.5926837524626</v>
      </c>
      <c r="H28" s="28">
        <f>STDEVP(H12:H24)</f>
        <v>1225.5926837524626</v>
      </c>
      <c r="I28" s="28">
        <f>STDEVP(I12:I24)</f>
        <v>5.2111087266247269</v>
      </c>
    </row>
    <row r="30" spans="1:9" x14ac:dyDescent="0.25">
      <c r="F30" t="s">
        <v>138</v>
      </c>
      <c r="H30" s="13">
        <f>I27</f>
        <v>16.146156772334297</v>
      </c>
    </row>
    <row r="31" spans="1:9" x14ac:dyDescent="0.25">
      <c r="F31" t="s">
        <v>139</v>
      </c>
      <c r="H31" s="13">
        <f>E65</f>
        <v>4.0620192023179804</v>
      </c>
    </row>
    <row r="32" spans="1:9" x14ac:dyDescent="0.25">
      <c r="F32" s="12" t="s">
        <v>140</v>
      </c>
      <c r="H32" s="14">
        <f>SUM(H30:H31)</f>
        <v>20.208175974652278</v>
      </c>
    </row>
    <row r="34" spans="2:12" ht="22.8" x14ac:dyDescent="0.4">
      <c r="B34" s="4" t="s">
        <v>141</v>
      </c>
      <c r="C34" s="4"/>
      <c r="D34" s="4"/>
    </row>
    <row r="35" spans="2:12" x14ac:dyDescent="0.25">
      <c r="B35" s="5" t="s">
        <v>117</v>
      </c>
      <c r="C35" s="11"/>
      <c r="D35" s="35">
        <v>34664</v>
      </c>
    </row>
    <row r="36" spans="2:12" x14ac:dyDescent="0.25">
      <c r="B36" s="5" t="s">
        <v>118</v>
      </c>
      <c r="C36" s="11"/>
      <c r="D36" s="29">
        <f>D3</f>
        <v>1250</v>
      </c>
    </row>
    <row r="37" spans="2:12" x14ac:dyDescent="0.25">
      <c r="B37" s="5" t="s">
        <v>121</v>
      </c>
      <c r="C37" s="11"/>
      <c r="D37" s="29">
        <f>D6</f>
        <v>8616.7293676512581</v>
      </c>
    </row>
    <row r="39" spans="2:12" x14ac:dyDescent="0.25">
      <c r="B39" s="30" t="s">
        <v>142</v>
      </c>
      <c r="C39" s="30" t="s">
        <v>124</v>
      </c>
      <c r="D39" s="30" t="s">
        <v>124</v>
      </c>
      <c r="E39" s="30" t="s">
        <v>143</v>
      </c>
      <c r="F39" s="30" t="s">
        <v>143</v>
      </c>
      <c r="G39" s="8" t="s">
        <v>144</v>
      </c>
      <c r="H39" s="8" t="s">
        <v>145</v>
      </c>
      <c r="I39" s="8" t="s">
        <v>144</v>
      </c>
      <c r="J39" s="8" t="s">
        <v>145</v>
      </c>
      <c r="K39" s="8" t="s">
        <v>146</v>
      </c>
      <c r="L39" s="8" t="s">
        <v>147</v>
      </c>
    </row>
    <row r="40" spans="2:12" x14ac:dyDescent="0.25">
      <c r="B40" s="30" t="s">
        <v>148</v>
      </c>
      <c r="C40" s="30" t="s">
        <v>129</v>
      </c>
      <c r="D40" s="30" t="s">
        <v>149</v>
      </c>
      <c r="E40" s="30" t="s">
        <v>132</v>
      </c>
      <c r="F40" s="30" t="s">
        <v>150</v>
      </c>
      <c r="G40" s="8" t="s">
        <v>151</v>
      </c>
      <c r="H40" s="8" t="s">
        <v>151</v>
      </c>
      <c r="I40" s="8" t="s">
        <v>152</v>
      </c>
      <c r="J40" s="8" t="s">
        <v>152</v>
      </c>
      <c r="K40" s="8" t="s">
        <v>128</v>
      </c>
      <c r="L40" s="8" t="s">
        <v>153</v>
      </c>
    </row>
    <row r="42" spans="2:12" x14ac:dyDescent="0.25">
      <c r="B42" s="40">
        <v>10000</v>
      </c>
      <c r="C42" s="41">
        <v>0.84</v>
      </c>
      <c r="D42" s="33">
        <f>$D$37/B42</f>
        <v>0.8616729367651258</v>
      </c>
      <c r="E42" s="28">
        <f>$D$36*B42/1000</f>
        <v>12500</v>
      </c>
      <c r="F42" s="28">
        <f>E42*60*24/1000</f>
        <v>18000</v>
      </c>
      <c r="G42" s="33"/>
      <c r="H42" s="33"/>
      <c r="I42" s="33"/>
      <c r="J42" s="33"/>
      <c r="K42" s="10">
        <f>EXP(+$G$52*LN(C42)+$H$52)</f>
        <v>12808.658008473705</v>
      </c>
      <c r="L42" s="34">
        <f>(K42-E42)/E42*100</f>
        <v>2.4692640677896414</v>
      </c>
    </row>
    <row r="43" spans="2:12" x14ac:dyDescent="0.25">
      <c r="B43" s="40">
        <v>20000</v>
      </c>
      <c r="C43" s="41">
        <v>0.43</v>
      </c>
      <c r="D43" s="33">
        <f>$D$37/B43</f>
        <v>0.4308364683825629</v>
      </c>
      <c r="E43" s="28">
        <f>$D$36*B43/1000</f>
        <v>25000</v>
      </c>
      <c r="F43" s="28">
        <f>E43*60*24/1000</f>
        <v>36000</v>
      </c>
      <c r="G43" s="33">
        <f>(LN(E43)-LN(E42))/(LN(C43)-LN(C42))</f>
        <v>-1.0351402496417967</v>
      </c>
      <c r="H43" s="33">
        <f>LN(E43)-(G43*LN(C43))</f>
        <v>9.2530037145954545</v>
      </c>
      <c r="I43" s="33">
        <f>(LN(E43)-LN(E42))/(LN(D43)-LN(D42))</f>
        <v>-1</v>
      </c>
      <c r="J43" s="33">
        <f>LN(E43)-(I43*LN(D43))</f>
        <v>9.2846044192662109</v>
      </c>
      <c r="K43" s="10">
        <f>EXP(+$G$52*LN(C43)+$H$52)</f>
        <v>24923.202892674573</v>
      </c>
      <c r="L43" s="34">
        <f>(K43-E43)/E43*100</f>
        <v>-0.30718842930170648</v>
      </c>
    </row>
    <row r="44" spans="2:12" x14ac:dyDescent="0.25">
      <c r="B44" s="40">
        <v>40000</v>
      </c>
      <c r="C44" s="41">
        <v>0.21</v>
      </c>
      <c r="D44" s="33">
        <f>$D$37/B44</f>
        <v>0.21541823419128145</v>
      </c>
      <c r="E44" s="28">
        <f>$D$36*B44/1000</f>
        <v>50000</v>
      </c>
      <c r="F44" s="28">
        <f>E44*60*24/1000</f>
        <v>72000</v>
      </c>
      <c r="G44" s="33">
        <f>(LN(E44)-LN(E43))/(LN(C44)-LN(C43))</f>
        <v>-0.967167252262077</v>
      </c>
      <c r="H44" s="33">
        <f>LN(E44)-(G44*LN(C44))</f>
        <v>9.3103708899721465</v>
      </c>
      <c r="I44" s="33">
        <f>(LN(E44)-LN(E43))/(LN(D44)-LN(D43))</f>
        <v>-1.0000000000000002</v>
      </c>
      <c r="J44" s="33">
        <f>LN(E44)-(I44*LN(D44))</f>
        <v>9.2846044192662109</v>
      </c>
      <c r="K44" s="10">
        <f>EXP(+$G$52*LN(C44)+$H$52)</f>
        <v>50818.540005317707</v>
      </c>
      <c r="L44" s="34">
        <f>(K44-E44)/E44*100</f>
        <v>1.6370800106354146</v>
      </c>
    </row>
    <row r="45" spans="2:12" x14ac:dyDescent="0.25">
      <c r="B45" s="40">
        <v>64000</v>
      </c>
      <c r="C45" s="41">
        <v>0.13</v>
      </c>
      <c r="D45" s="33">
        <f>$D$37/B45</f>
        <v>0.13463639636955091</v>
      </c>
      <c r="E45" s="28">
        <f>$D$36*B45/1000</f>
        <v>80000</v>
      </c>
      <c r="F45" s="28">
        <f>E45*60*24/1000</f>
        <v>115200</v>
      </c>
      <c r="G45" s="33">
        <f>(LN(E45)-LN(E44))/(LN(C45)-LN(C44))</f>
        <v>-0.98004589621476301</v>
      </c>
      <c r="H45" s="33">
        <f>LN(E45)-(G45*LN(C45))</f>
        <v>9.2902718632866836</v>
      </c>
      <c r="I45" s="33">
        <f>(LN(E45)-LN(E44))/(LN(D45)-LN(D44))</f>
        <v>-0.99999999999999811</v>
      </c>
      <c r="J45" s="33">
        <f>LN(E45)-(I45*LN(D45))</f>
        <v>9.2846044192662145</v>
      </c>
      <c r="K45" s="10">
        <f>EXP(+$G$52*LN(C45)+$H$52)</f>
        <v>81860.238447167576</v>
      </c>
      <c r="L45" s="34">
        <f>(K45-E45)/E45*100</f>
        <v>2.3252980589594698</v>
      </c>
    </row>
    <row r="46" spans="2:12" x14ac:dyDescent="0.25">
      <c r="B46" s="13"/>
      <c r="C46" s="17"/>
      <c r="D46" s="17"/>
      <c r="E46" s="13"/>
      <c r="F46" s="13"/>
      <c r="G46" s="17"/>
      <c r="H46" s="17"/>
      <c r="I46" s="17"/>
      <c r="J46" s="17"/>
    </row>
    <row r="47" spans="2:12" x14ac:dyDescent="0.25">
      <c r="B47" s="13"/>
      <c r="C47" s="17"/>
      <c r="D47" s="17"/>
      <c r="E47" s="13"/>
      <c r="F47" s="13"/>
      <c r="G47" s="17"/>
      <c r="H47" s="17"/>
      <c r="I47" s="17"/>
      <c r="J47" s="17"/>
    </row>
    <row r="52" spans="2:10" x14ac:dyDescent="0.25">
      <c r="F52" s="8" t="s">
        <v>134</v>
      </c>
      <c r="G52" s="33">
        <f>AVERAGE(G42:G51)</f>
        <v>-0.99411779937287881</v>
      </c>
      <c r="H52" s="33">
        <f>AVERAGE(H42:H51)</f>
        <v>9.2845488226180937</v>
      </c>
      <c r="I52" s="33">
        <f>AVERAGE(I42:I51)</f>
        <v>-0.99999999999999944</v>
      </c>
      <c r="J52" s="33">
        <f>AVERAGE(J42:J51)</f>
        <v>9.2846044192662109</v>
      </c>
    </row>
    <row r="53" spans="2:10" x14ac:dyDescent="0.25">
      <c r="F53" s="8" t="s">
        <v>135</v>
      </c>
      <c r="G53" s="33">
        <f>MIN(G42:G51)</f>
        <v>-1.0351402496417967</v>
      </c>
      <c r="H53" s="33">
        <f>MIN(H42:H51)</f>
        <v>9.2530037145954545</v>
      </c>
      <c r="I53" s="33">
        <f>MIN(I42:I51)</f>
        <v>-1.0000000000000002</v>
      </c>
      <c r="J53" s="33">
        <f>MIN(J42:J51)</f>
        <v>9.2846044192662109</v>
      </c>
    </row>
    <row r="54" spans="2:10" x14ac:dyDescent="0.25">
      <c r="F54" s="8" t="s">
        <v>136</v>
      </c>
      <c r="G54" s="33">
        <f>MAX(G42:G51)</f>
        <v>-0.967167252262077</v>
      </c>
      <c r="H54" s="33">
        <f>MAX(H42:H51)</f>
        <v>9.3103708899721465</v>
      </c>
      <c r="I54" s="33">
        <f>MAX(I42:I51)</f>
        <v>-0.99999999999999811</v>
      </c>
      <c r="J54" s="33">
        <f>MAX(J42:J51)</f>
        <v>9.2846044192662145</v>
      </c>
    </row>
    <row r="57" spans="2:10" x14ac:dyDescent="0.25">
      <c r="B57" t="s">
        <v>154</v>
      </c>
      <c r="E57" t="s">
        <v>155</v>
      </c>
    </row>
    <row r="58" spans="2:10" x14ac:dyDescent="0.25">
      <c r="E58" s="42">
        <f>(0.5*2.5)</f>
        <v>1.25</v>
      </c>
    </row>
    <row r="59" spans="2:10" x14ac:dyDescent="0.25">
      <c r="B59" t="s">
        <v>156</v>
      </c>
      <c r="E59" s="13" t="s">
        <v>157</v>
      </c>
    </row>
    <row r="60" spans="2:10" x14ac:dyDescent="0.25">
      <c r="E60" s="42">
        <f>0.5*2</f>
        <v>1</v>
      </c>
    </row>
    <row r="61" spans="2:10" x14ac:dyDescent="0.25">
      <c r="B61" t="s">
        <v>158</v>
      </c>
      <c r="E61" s="13" t="s">
        <v>159</v>
      </c>
    </row>
    <row r="62" spans="2:10" x14ac:dyDescent="0.25">
      <c r="E62" s="42">
        <f>E58</f>
        <v>1.25</v>
      </c>
    </row>
    <row r="63" spans="2:10" x14ac:dyDescent="0.25">
      <c r="B63" t="s">
        <v>160</v>
      </c>
      <c r="E63" s="13" t="s">
        <v>161</v>
      </c>
    </row>
    <row r="64" spans="2:10" x14ac:dyDescent="0.25">
      <c r="E64" s="13">
        <f>(E58^2+E60^2+E62^2)^0.5</f>
        <v>2.0310096011589902</v>
      </c>
    </row>
    <row r="65" spans="2:5" x14ac:dyDescent="0.25">
      <c r="B65" t="s">
        <v>162</v>
      </c>
      <c r="C65" t="s">
        <v>163</v>
      </c>
      <c r="D65" t="s">
        <v>50</v>
      </c>
      <c r="E65" s="13">
        <f>2*E64</f>
        <v>4.0620192023179804</v>
      </c>
    </row>
    <row r="67" spans="2:5" ht="17.399999999999999" x14ac:dyDescent="0.3">
      <c r="B67" s="19" t="s">
        <v>164</v>
      </c>
      <c r="D67" s="2" t="str">
        <f>E1</f>
        <v>COMPANY ABC INC.</v>
      </c>
    </row>
    <row r="69" spans="2:5" x14ac:dyDescent="0.25">
      <c r="B69" s="25" t="s">
        <v>165</v>
      </c>
      <c r="C69" s="25" t="s">
        <v>166</v>
      </c>
      <c r="D69" s="25" t="s">
        <v>167</v>
      </c>
      <c r="E69" s="25" t="s">
        <v>168</v>
      </c>
    </row>
    <row r="70" spans="2:5" x14ac:dyDescent="0.25">
      <c r="B70" s="7" t="s">
        <v>169</v>
      </c>
      <c r="C70" s="7" t="s">
        <v>169</v>
      </c>
      <c r="D70" s="7" t="s">
        <v>169</v>
      </c>
      <c r="E70" s="7"/>
    </row>
    <row r="71" spans="2:5" x14ac:dyDescent="0.25">
      <c r="B71" s="40">
        <v>9.49</v>
      </c>
      <c r="C71" s="40">
        <v>10.6</v>
      </c>
      <c r="D71" s="28">
        <f>(B71+C71)/2</f>
        <v>10.045</v>
      </c>
      <c r="E71" s="28">
        <f>(C71-B71)/D71*100</f>
        <v>11.050273768043798</v>
      </c>
    </row>
    <row r="74" spans="2:5" x14ac:dyDescent="0.25">
      <c r="B74" t="s">
        <v>170</v>
      </c>
    </row>
    <row r="75" spans="2:5" x14ac:dyDescent="0.25">
      <c r="B75" t="s">
        <v>171</v>
      </c>
    </row>
  </sheetData>
  <sheetProtection sheet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>HEI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Dye Test Calculator v1.1</dc:title>
  <dc:creator>John Hibberd;HEI Group</dc:creator>
  <cp:lastModifiedBy>Admin</cp:lastModifiedBy>
  <dcterms:created xsi:type="dcterms:W3CDTF">2017-10-26T05:50:29Z</dcterms:created>
  <dcterms:modified xsi:type="dcterms:W3CDTF">2017-10-30T18:03:17Z</dcterms:modified>
</cp:coreProperties>
</file>